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ulia.badana\Desktop\"/>
    </mc:Choice>
  </mc:AlternateContent>
  <bookViews>
    <workbookView xWindow="0" yWindow="0" windowWidth="20490" windowHeight="6750" tabRatio="528"/>
  </bookViews>
  <sheets>
    <sheet name="Commercial&amp;Operations - Afte" sheetId="1" r:id="rId1"/>
  </sheets>
  <definedNames>
    <definedName name="Parametri.LunaCurenta" localSheetId="0">'Commercial&amp;Operations - Afte'!$A$6</definedName>
    <definedName name="Parametri.ZileLucratoare" localSheetId="0">'Commercial&amp;Operations - Afte'!$D$1</definedName>
    <definedName name="Pontaj.DPT" localSheetId="0">'Commercial&amp;Operations - Afte'!$A$9</definedName>
    <definedName name="Pontaj.PCT" localSheetId="0">'Commercial&amp;Operations - Afte'!$A$8</definedName>
    <definedName name="Pontaj.Salariat" localSheetId="0">'Commercial&amp;Operations - Afte'!$11:$11</definedName>
    <definedName name="Pontaj.Salariat.Marca" localSheetId="0">'Commercial&amp;Operations - Afte'!$A$11</definedName>
    <definedName name="Pontaj.Salariat.Norma" localSheetId="0">'Commercial&amp;Operations - Afte'!$C$11</definedName>
    <definedName name="Pontaj.Salariat.Nume" localSheetId="0">'Commercial&amp;Operations - Afte'!$B$11</definedName>
    <definedName name="Pontaj.VP.Luna" localSheetId="0">'Commercial&amp;Operations - Afte'!$CG$3:$CR$3</definedName>
    <definedName name="Pontaj.VP.NO" localSheetId="0">'Commercial&amp;Operations - Afte'!$CG$2:$CN$2</definedName>
    <definedName name="Pontaj.VP.ZI" localSheetId="0">'Commercial&amp;Operations - Afte'!$CG$1:$DE$1</definedName>
    <definedName name="Pontaj.Zi1" localSheetId="0">'Commercial&amp;Operations - Afte'!$D$4</definedName>
    <definedName name="Pontaj.Zi10" localSheetId="0">'Commercial&amp;Operations - Afte'!$V$4</definedName>
    <definedName name="Pontaj.Zi11" localSheetId="0">'Commercial&amp;Operations - Afte'!$X$4</definedName>
    <definedName name="Pontaj.Zi12" localSheetId="0">'Commercial&amp;Operations - Afte'!$Z$4</definedName>
    <definedName name="Pontaj.Zi13" localSheetId="0">'Commercial&amp;Operations - Afte'!$AB$4</definedName>
    <definedName name="Pontaj.Zi14" localSheetId="0">'Commercial&amp;Operations - Afte'!$AD$4</definedName>
    <definedName name="Pontaj.Zi15" localSheetId="0">'Commercial&amp;Operations - Afte'!$AF$4</definedName>
    <definedName name="Pontaj.Zi16" localSheetId="0">'Commercial&amp;Operations - Afte'!$AH$4</definedName>
    <definedName name="Pontaj.Zi17" localSheetId="0">'Commercial&amp;Operations - Afte'!$AJ$4</definedName>
    <definedName name="Pontaj.Zi18" localSheetId="0">'Commercial&amp;Operations - Afte'!$AL$4</definedName>
    <definedName name="Pontaj.Zi19" localSheetId="0">'Commercial&amp;Operations - Afte'!$AN$4</definedName>
    <definedName name="Pontaj.Zi2" localSheetId="0">'Commercial&amp;Operations - Afte'!$F$4</definedName>
    <definedName name="Pontaj.Zi20" localSheetId="0">'Commercial&amp;Operations - Afte'!$AP$4</definedName>
    <definedName name="Pontaj.Zi21" localSheetId="0">'Commercial&amp;Operations - Afte'!$AR$4</definedName>
    <definedName name="Pontaj.Zi22" localSheetId="0">'Commercial&amp;Operations - Afte'!$AT$4</definedName>
    <definedName name="Pontaj.Zi23" localSheetId="0">'Commercial&amp;Operations - Afte'!$AV$4</definedName>
    <definedName name="Pontaj.Zi24" localSheetId="0">'Commercial&amp;Operations - Afte'!$AX$4</definedName>
    <definedName name="Pontaj.Zi25" localSheetId="0">'Commercial&amp;Operations - Afte'!$AZ$4</definedName>
    <definedName name="Pontaj.Zi26" localSheetId="0">'Commercial&amp;Operations - Afte'!$BB$4</definedName>
    <definedName name="Pontaj.Zi27" localSheetId="0">'Commercial&amp;Operations - Afte'!$BD$4</definedName>
    <definedName name="Pontaj.Zi28" localSheetId="0">'Commercial&amp;Operations - Afte'!$BF$4</definedName>
    <definedName name="Pontaj.Zi29" localSheetId="0">'Commercial&amp;Operations - Afte'!$BH$4</definedName>
    <definedName name="Pontaj.Zi3" localSheetId="0">'Commercial&amp;Operations - Afte'!$H$4</definedName>
    <definedName name="Pontaj.Zi30" localSheetId="0">'Commercial&amp;Operations - Afte'!$BJ$4</definedName>
    <definedName name="Pontaj.Zi31" localSheetId="0">'Commercial&amp;Operations - Afte'!$BL$4</definedName>
    <definedName name="Pontaj.Zi4" localSheetId="0">'Commercial&amp;Operations - Afte'!$J$4</definedName>
    <definedName name="Pontaj.Zi5" localSheetId="0">'Commercial&amp;Operations - Afte'!$L$4</definedName>
    <definedName name="Pontaj.Zi6" localSheetId="0">'Commercial&amp;Operations - Afte'!$N$4</definedName>
    <definedName name="Pontaj.Zi7" localSheetId="0">'Commercial&amp;Operations - Afte'!$P$4</definedName>
    <definedName name="Pontaj.Zi8" localSheetId="0">'Commercial&amp;Operations - Afte'!$R$4</definedName>
    <definedName name="Pontaj.Zi9" localSheetId="0">'Commercial&amp;Operations - Afte'!$T$4</definedName>
    <definedName name="_xlnm.Print_Titles" localSheetId="0">'Commercial&amp;Operations - Afte'!$A:$C,XLS_DPT</definedName>
  </definedNames>
  <calcPr calcId="162913"/>
</workbook>
</file>

<file path=xl/calcChain.xml><?xml version="1.0" encoding="utf-8"?>
<calcChain xmlns="http://schemas.openxmlformats.org/spreadsheetml/2006/main">
  <c r="BM8" i="1" l="1"/>
  <c r="BL8" i="1"/>
  <c r="BK8" i="1"/>
  <c r="BJ8" i="1"/>
  <c r="BI8" i="1"/>
  <c r="BI3" i="1" s="1"/>
  <c r="BI5" i="1" s="1"/>
  <c r="BH8" i="1"/>
  <c r="BG8" i="1"/>
  <c r="BF8" i="1"/>
  <c r="BE8" i="1"/>
  <c r="BD8" i="1"/>
  <c r="BC8" i="1"/>
  <c r="BB8" i="1"/>
  <c r="BA8" i="1"/>
  <c r="BA3" i="1" s="1"/>
  <c r="BA5" i="1" s="1"/>
  <c r="AZ8" i="1"/>
  <c r="AY8" i="1"/>
  <c r="AX8" i="1"/>
  <c r="AW8" i="1"/>
  <c r="AV8" i="1"/>
  <c r="AU8" i="1"/>
  <c r="AT8" i="1"/>
  <c r="AS8" i="1"/>
  <c r="AS3" i="1" s="1"/>
  <c r="AS5" i="1" s="1"/>
  <c r="AR8" i="1"/>
  <c r="AQ8" i="1"/>
  <c r="AP8" i="1"/>
  <c r="AO8" i="1"/>
  <c r="AN8" i="1"/>
  <c r="AM8" i="1"/>
  <c r="AL8" i="1"/>
  <c r="AK8" i="1"/>
  <c r="AK3" i="1" s="1"/>
  <c r="AK5" i="1" s="1"/>
  <c r="AJ8" i="1"/>
  <c r="AI8" i="1"/>
  <c r="AH8" i="1"/>
  <c r="AG8" i="1"/>
  <c r="AF8" i="1"/>
  <c r="AE8" i="1"/>
  <c r="AD8" i="1"/>
  <c r="AC8" i="1"/>
  <c r="AC3" i="1" s="1"/>
  <c r="AC5" i="1" s="1"/>
  <c r="AB8" i="1"/>
  <c r="AA8" i="1"/>
  <c r="Z8" i="1"/>
  <c r="Y8" i="1"/>
  <c r="X8" i="1"/>
  <c r="W8" i="1"/>
  <c r="V8" i="1"/>
  <c r="U8" i="1"/>
  <c r="U3" i="1" s="1"/>
  <c r="U5" i="1" s="1"/>
  <c r="T8" i="1"/>
  <c r="S8" i="1"/>
  <c r="R8" i="1"/>
  <c r="Q8" i="1"/>
  <c r="P8" i="1"/>
  <c r="O8" i="1"/>
  <c r="N8" i="1"/>
  <c r="M8" i="1"/>
  <c r="M3" i="1" s="1"/>
  <c r="M5" i="1" s="1"/>
  <c r="L8" i="1"/>
  <c r="K8" i="1"/>
  <c r="J8" i="1"/>
  <c r="I8" i="1"/>
  <c r="H8" i="1"/>
  <c r="G8" i="1"/>
  <c r="F8" i="1"/>
  <c r="E8" i="1"/>
  <c r="E3" i="1" s="1"/>
  <c r="E5" i="1" s="1"/>
  <c r="D8" i="1"/>
  <c r="BM4" i="1"/>
  <c r="BK4" i="1"/>
  <c r="BI4" i="1"/>
  <c r="BG4" i="1"/>
  <c r="BE4" i="1"/>
  <c r="BC4" i="1"/>
  <c r="BA4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BU15" i="1" s="1"/>
  <c r="CE15" i="1"/>
  <c r="CD15" i="1"/>
  <c r="CC15" i="1"/>
  <c r="CB15" i="1"/>
  <c r="CA15" i="1"/>
  <c r="BZ15" i="1"/>
  <c r="BY15" i="1"/>
  <c r="BX15" i="1"/>
  <c r="BW15" i="1"/>
  <c r="BV15" i="1"/>
  <c r="CE14" i="1"/>
  <c r="CD14" i="1"/>
  <c r="CC14" i="1"/>
  <c r="CB14" i="1"/>
  <c r="CA14" i="1"/>
  <c r="BZ14" i="1"/>
  <c r="BY14" i="1"/>
  <c r="BX14" i="1"/>
  <c r="BW14" i="1"/>
  <c r="BV14" i="1"/>
  <c r="CE13" i="1"/>
  <c r="CD13" i="1"/>
  <c r="CC13" i="1"/>
  <c r="CB13" i="1"/>
  <c r="CA13" i="1"/>
  <c r="BZ13" i="1"/>
  <c r="BY13" i="1"/>
  <c r="BX13" i="1"/>
  <c r="BW13" i="1"/>
  <c r="BV13" i="1"/>
  <c r="CE12" i="1"/>
  <c r="CD12" i="1"/>
  <c r="CC12" i="1"/>
  <c r="CB12" i="1"/>
  <c r="CA12" i="1"/>
  <c r="BZ12" i="1"/>
  <c r="BY12" i="1"/>
  <c r="BX12" i="1"/>
  <c r="BW12" i="1"/>
  <c r="BV12" i="1"/>
  <c r="CE11" i="1"/>
  <c r="CD11" i="1"/>
  <c r="CC11" i="1"/>
  <c r="CB11" i="1"/>
  <c r="CA11" i="1"/>
  <c r="BZ11" i="1"/>
  <c r="BY11" i="1"/>
  <c r="BX11" i="1"/>
  <c r="BW11" i="1"/>
  <c r="BV11" i="1"/>
  <c r="BL9" i="1"/>
  <c r="BJ9" i="1"/>
  <c r="BF9" i="1"/>
  <c r="BD9" i="1"/>
  <c r="BB9" i="1"/>
  <c r="AX9" i="1"/>
  <c r="AV9" i="1"/>
  <c r="AT9" i="1"/>
  <c r="AP9" i="1"/>
  <c r="AN9" i="1"/>
  <c r="AL9" i="1"/>
  <c r="AH9" i="1"/>
  <c r="AF9" i="1"/>
  <c r="AD9" i="1"/>
  <c r="Z9" i="1"/>
  <c r="X9" i="1"/>
  <c r="V9" i="1"/>
  <c r="R9" i="1"/>
  <c r="P9" i="1"/>
  <c r="N9" i="1"/>
  <c r="J9" i="1"/>
  <c r="H9" i="1"/>
  <c r="F9" i="1"/>
  <c r="C6" i="1"/>
  <c r="BL3" i="1"/>
  <c r="BL5" i="1" s="1"/>
  <c r="BK3" i="1"/>
  <c r="BK5" i="1" s="1"/>
  <c r="BD3" i="1"/>
  <c r="BD5" i="1" s="1"/>
  <c r="BC3" i="1"/>
  <c r="BC5" i="1" s="1"/>
  <c r="AV3" i="1"/>
  <c r="AV5" i="1" s="1"/>
  <c r="AU3" i="1"/>
  <c r="AU5" i="1" s="1"/>
  <c r="AN3" i="1"/>
  <c r="AN5" i="1" s="1"/>
  <c r="AM3" i="1"/>
  <c r="AM5" i="1" s="1"/>
  <c r="AF3" i="1"/>
  <c r="AF5" i="1" s="1"/>
  <c r="AE3" i="1"/>
  <c r="AE5" i="1" s="1"/>
  <c r="X3" i="1"/>
  <c r="X5" i="1" s="1"/>
  <c r="W3" i="1"/>
  <c r="W5" i="1" s="1"/>
  <c r="P3" i="1"/>
  <c r="P5" i="1" s="1"/>
  <c r="O3" i="1"/>
  <c r="O5" i="1" s="1"/>
  <c r="H3" i="1"/>
  <c r="H5" i="1" s="1"/>
  <c r="G3" i="1"/>
  <c r="G5" i="1" s="1"/>
  <c r="BM2" i="1"/>
  <c r="BM3" i="1" s="1"/>
  <c r="BM5" i="1" s="1"/>
  <c r="BL2" i="1"/>
  <c r="BK2" i="1"/>
  <c r="BJ2" i="1"/>
  <c r="BJ3" i="1" s="1"/>
  <c r="BJ5" i="1" s="1"/>
  <c r="BI2" i="1"/>
  <c r="BQ15" i="1" s="1"/>
  <c r="BG2" i="1"/>
  <c r="BG3" i="1" s="1"/>
  <c r="BG5" i="1" s="1"/>
  <c r="BF2" i="1"/>
  <c r="BF3" i="1" s="1"/>
  <c r="BF5" i="1" s="1"/>
  <c r="BE2" i="1"/>
  <c r="BE3" i="1" s="1"/>
  <c r="BE5" i="1" s="1"/>
  <c r="BD2" i="1"/>
  <c r="BC2" i="1"/>
  <c r="BB2" i="1"/>
  <c r="BB3" i="1" s="1"/>
  <c r="BB5" i="1" s="1"/>
  <c r="BA2" i="1"/>
  <c r="AY2" i="1"/>
  <c r="AY3" i="1" s="1"/>
  <c r="AY5" i="1" s="1"/>
  <c r="AX2" i="1"/>
  <c r="AX3" i="1" s="1"/>
  <c r="AX5" i="1" s="1"/>
  <c r="AW2" i="1"/>
  <c r="AW3" i="1" s="1"/>
  <c r="AW5" i="1" s="1"/>
  <c r="AV2" i="1"/>
  <c r="AU2" i="1"/>
  <c r="AT2" i="1"/>
  <c r="AT3" i="1" s="1"/>
  <c r="AT5" i="1" s="1"/>
  <c r="AS2" i="1"/>
  <c r="AQ2" i="1"/>
  <c r="AQ3" i="1" s="1"/>
  <c r="AQ5" i="1" s="1"/>
  <c r="AP2" i="1"/>
  <c r="AP3" i="1" s="1"/>
  <c r="AP5" i="1" s="1"/>
  <c r="AO2" i="1"/>
  <c r="AO3" i="1" s="1"/>
  <c r="AO5" i="1" s="1"/>
  <c r="AN2" i="1"/>
  <c r="AM2" i="1"/>
  <c r="AL2" i="1"/>
  <c r="AL3" i="1" s="1"/>
  <c r="AL5" i="1" s="1"/>
  <c r="AK2" i="1"/>
  <c r="AI2" i="1"/>
  <c r="AI3" i="1" s="1"/>
  <c r="AI5" i="1" s="1"/>
  <c r="AH2" i="1"/>
  <c r="AH3" i="1" s="1"/>
  <c r="AH5" i="1" s="1"/>
  <c r="AG2" i="1"/>
  <c r="AG3" i="1" s="1"/>
  <c r="AG5" i="1" s="1"/>
  <c r="AF2" i="1"/>
  <c r="AE2" i="1"/>
  <c r="AD2" i="1"/>
  <c r="AD3" i="1" s="1"/>
  <c r="AD5" i="1" s="1"/>
  <c r="AC2" i="1"/>
  <c r="AA2" i="1"/>
  <c r="AA3" i="1" s="1"/>
  <c r="AA5" i="1" s="1"/>
  <c r="Z2" i="1"/>
  <c r="Z3" i="1" s="1"/>
  <c r="Z5" i="1" s="1"/>
  <c r="Y2" i="1"/>
  <c r="Y3" i="1" s="1"/>
  <c r="Y5" i="1" s="1"/>
  <c r="X2" i="1"/>
  <c r="W2" i="1"/>
  <c r="V2" i="1"/>
  <c r="V3" i="1" s="1"/>
  <c r="V5" i="1" s="1"/>
  <c r="U2" i="1"/>
  <c r="S2" i="1"/>
  <c r="S3" i="1" s="1"/>
  <c r="S5" i="1" s="1"/>
  <c r="R2" i="1"/>
  <c r="R3" i="1" s="1"/>
  <c r="R5" i="1" s="1"/>
  <c r="Q2" i="1"/>
  <c r="Q3" i="1" s="1"/>
  <c r="Q5" i="1" s="1"/>
  <c r="P2" i="1"/>
  <c r="O2" i="1"/>
  <c r="N2" i="1"/>
  <c r="N3" i="1" s="1"/>
  <c r="N5" i="1" s="1"/>
  <c r="M2" i="1"/>
  <c r="K2" i="1"/>
  <c r="K3" i="1" s="1"/>
  <c r="K5" i="1" s="1"/>
  <c r="J2" i="1"/>
  <c r="J3" i="1" s="1"/>
  <c r="J5" i="1" s="1"/>
  <c r="I2" i="1"/>
  <c r="I3" i="1" s="1"/>
  <c r="I5" i="1" s="1"/>
  <c r="H2" i="1"/>
  <c r="G2" i="1"/>
  <c r="F2" i="1"/>
  <c r="F3" i="1" s="1"/>
  <c r="F5" i="1" s="1"/>
  <c r="E2" i="1"/>
  <c r="L9" i="1" l="1"/>
  <c r="AB9" i="1"/>
  <c r="AR9" i="1"/>
  <c r="BH9" i="1"/>
  <c r="BU11" i="1"/>
  <c r="BU12" i="1"/>
  <c r="BU13" i="1"/>
  <c r="BU14" i="1"/>
  <c r="D2" i="1"/>
  <c r="L2" i="1"/>
  <c r="L3" i="1" s="1"/>
  <c r="L5" i="1" s="1"/>
  <c r="T2" i="1"/>
  <c r="T3" i="1" s="1"/>
  <c r="T5" i="1" s="1"/>
  <c r="AB2" i="1"/>
  <c r="AB3" i="1" s="1"/>
  <c r="AB5" i="1" s="1"/>
  <c r="AJ2" i="1"/>
  <c r="AJ3" i="1" s="1"/>
  <c r="AJ5" i="1" s="1"/>
  <c r="AR2" i="1"/>
  <c r="AR3" i="1" s="1"/>
  <c r="AR5" i="1" s="1"/>
  <c r="AZ2" i="1"/>
  <c r="AZ3" i="1" s="1"/>
  <c r="AZ5" i="1" s="1"/>
  <c r="BH2" i="1"/>
  <c r="BH3" i="1" s="1"/>
  <c r="BH5" i="1" s="1"/>
  <c r="D9" i="1"/>
  <c r="T9" i="1"/>
  <c r="AJ9" i="1"/>
  <c r="AZ9" i="1"/>
  <c r="BQ11" i="1"/>
  <c r="BQ12" i="1"/>
  <c r="BQ13" i="1"/>
  <c r="BQ14" i="1"/>
  <c r="BN15" i="1" l="1"/>
  <c r="BN11" i="1"/>
  <c r="BN14" i="1"/>
  <c r="BN13" i="1"/>
  <c r="BN12" i="1"/>
  <c r="D3" i="1"/>
  <c r="BP15" i="1" l="1"/>
  <c r="BO15" i="1"/>
  <c r="BO14" i="1"/>
  <c r="BP14" i="1" s="1"/>
  <c r="BP13" i="1"/>
  <c r="BO13" i="1"/>
  <c r="BR15" i="1"/>
  <c r="BR14" i="1"/>
  <c r="BR13" i="1"/>
  <c r="BR12" i="1"/>
  <c r="BR11" i="1"/>
  <c r="D5" i="1"/>
  <c r="BP12" i="1"/>
  <c r="BO12" i="1"/>
  <c r="BO11" i="1"/>
  <c r="BP11" i="1" s="1"/>
</calcChain>
</file>

<file path=xl/sharedStrings.xml><?xml version="1.0" encoding="utf-8"?>
<sst xmlns="http://schemas.openxmlformats.org/spreadsheetml/2006/main" count="95" uniqueCount="56">
  <si>
    <t>Zile lucratoare in luna</t>
  </si>
  <si>
    <t>ZI</t>
  </si>
  <si>
    <t>X</t>
  </si>
  <si>
    <t>N</t>
  </si>
  <si>
    <t>D</t>
  </si>
  <si>
    <t>CO</t>
  </si>
  <si>
    <t>CFS</t>
  </si>
  <si>
    <t>INV</t>
  </si>
  <si>
    <t>EVD</t>
  </si>
  <si>
    <t>CM</t>
  </si>
  <si>
    <t>CIC</t>
  </si>
  <si>
    <t>ZILE LUNA</t>
  </si>
  <si>
    <t>NOAPTE</t>
  </si>
  <si>
    <t>WEEKEND</t>
  </si>
  <si>
    <t>DATA</t>
  </si>
  <si>
    <t>SARBATORI LEGALE</t>
  </si>
  <si>
    <t>ZILE LUCRATOARE</t>
  </si>
  <si>
    <t>PONTAJ ZILNIC</t>
  </si>
  <si>
    <t>ORE</t>
  </si>
  <si>
    <t>ZILE</t>
  </si>
  <si>
    <t>Semnaturi</t>
  </si>
  <si>
    <t>zile</t>
  </si>
  <si>
    <t>Total lucrate</t>
  </si>
  <si>
    <t>Regie</t>
  </si>
  <si>
    <t>Suplimentare</t>
  </si>
  <si>
    <t>Noapte</t>
  </si>
  <si>
    <t>Weekend</t>
  </si>
  <si>
    <t>Ore nemotivate</t>
  </si>
  <si>
    <t>Ore invoire</t>
  </si>
  <si>
    <t>Sarbat. Leg.</t>
  </si>
  <si>
    <t>Concediu odihna</t>
  </si>
  <si>
    <t>Concediu ev. Deoseb.</t>
  </si>
  <si>
    <t>Concediu fara salariu</t>
  </si>
  <si>
    <t>Invoire</t>
  </si>
  <si>
    <t>Delegatii</t>
  </si>
  <si>
    <t>Concediu ing. copil</t>
  </si>
  <si>
    <t>Concediu Medical</t>
  </si>
  <si>
    <t>Nemotivate</t>
  </si>
  <si>
    <t>Nelucrate (ang/lichid)</t>
  </si>
  <si>
    <t>Ore nelucrate</t>
  </si>
  <si>
    <t>Companie</t>
  </si>
  <si>
    <t>Marca</t>
  </si>
  <si>
    <t>Numele si prenumele</t>
  </si>
  <si>
    <t>Ore /zi</t>
  </si>
  <si>
    <t>x</t>
  </si>
  <si>
    <t>ON</t>
  </si>
  <si>
    <t>10166</t>
  </si>
  <si>
    <t>ALDEA IONUT-MARIAN-GABRIEL</t>
  </si>
  <si>
    <t>5962</t>
  </si>
  <si>
    <t>ALEXANDRU ALICE</t>
  </si>
  <si>
    <t>9387</t>
  </si>
  <si>
    <t>ANDREESCU STEFANITA-CATALIN</t>
  </si>
  <si>
    <t>11958</t>
  </si>
  <si>
    <t>BACOV PETRE-GEORGE</t>
  </si>
  <si>
    <t>5634</t>
  </si>
  <si>
    <t>BACRITA ANA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</si>
</sst>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8" formatCode="_(* #,##0.00_);_(* \(#,##0.00\);_(* &quot;-&quot;??_);_(@_)"/>
    <numFmt numFmtId="169" formatCode="ddd"/>
    <numFmt numFmtId="170" formatCode="00000"/>
    <numFmt numFmtId="171" formatCode="[$-418]mmmm\ yyyy;@"/>
    <numFmt numFmtId="172" formatCode="_(* #,##0_);_(* \(#,##0\);_(* &quot;-&quot;??_);_(@_)"/>
    <numFmt numFmtId="173" formatCode="mmmm"/>
    <numFmt numFmtId="174" formatCode="_(* #,##0.0_);_(* \(#,##0.0\);_(* &quot;-&quot;??_);_(@_)"/>
    <numFmt numFmtId="175" formatCode="mmmm\ \ yyyy"/>
    <numFmt numFmtId="176" formatCode="mmmm\ yyyy"/>
    <numFmt numFmtId="177" formatCode="dd"/>
    <numFmt numFmtId="178" formatCode="dd\ \-\ mmm\ \-\ yy"/>
    <numFmt numFmtId="179" formatCode="#"/>
  </numFmts>
  <fonts count="3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6"/>
      <name val="Verdana"/>
      <family val="2"/>
      <charset val="238"/>
    </font>
    <font>
      <b/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.5"/>
      <name val="Verdana"/>
      <family val="2"/>
    </font>
    <font>
      <b/>
      <sz val="8"/>
      <color indexed="18"/>
      <name val="Verdana"/>
      <family val="2"/>
    </font>
    <font>
      <b/>
      <sz val="12"/>
      <name val="Verdana"/>
      <family val="2"/>
    </font>
    <font>
      <sz val="10"/>
      <name val="Verdana"/>
      <family val="2"/>
      <charset val="238"/>
    </font>
    <font>
      <sz val="8"/>
      <name val="Verdana"/>
      <family val="2"/>
    </font>
    <font>
      <b/>
      <sz val="16"/>
      <name val="Verdana"/>
      <family val="2"/>
    </font>
    <font>
      <b/>
      <sz val="7"/>
      <name val="Verdana"/>
      <family val="2"/>
    </font>
    <font>
      <sz val="10"/>
      <color indexed="26"/>
      <name val="Verdana"/>
      <family val="2"/>
      <charset val="238"/>
    </font>
    <font>
      <sz val="7"/>
      <name val="Verdana"/>
      <family val="2"/>
      <charset val="238"/>
    </font>
    <font>
      <b/>
      <sz val="9"/>
      <name val="Verdana"/>
      <family val="2"/>
    </font>
    <font>
      <b/>
      <sz val="10"/>
      <name val="Verdana"/>
      <family val="2"/>
      <charset val="238"/>
    </font>
    <font>
      <sz val="10"/>
      <name val="Wingdings 2"/>
      <family val="1"/>
      <charset val="2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thick">
        <color rgb="FF000000"/>
      </left>
      <right style="dashed">
        <color rgb="FF000000"/>
      </right>
      <top style="thin">
        <color rgb="FF000000"/>
      </top>
      <bottom/>
      <diagonal/>
    </border>
    <border>
      <left style="thick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thick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thick">
        <color rgb="FF000000"/>
      </right>
      <top style="thin">
        <color rgb="FF000000"/>
      </top>
      <bottom/>
      <diagonal/>
    </border>
    <border>
      <left style="dashed">
        <color rgb="FF000000"/>
      </left>
      <right style="thick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 style="thin">
        <color auto="1"/>
      </top>
      <bottom/>
      <diagonal/>
    </border>
    <border>
      <left style="dotted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dotted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/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ck">
        <color auto="1"/>
      </bottom>
      <diagonal/>
    </border>
  </borders>
  <cellStyleXfs count="43">
    <xf numFmtId="0" fontId="0" fillId="0" borderId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172" fontId="22" fillId="0" borderId="0" xfId="1" applyNumberFormat="1" applyFont="1" applyFill="1" applyAlignment="1" applyProtection="1">
      <alignment horizontal="center" vertical="center"/>
    </xf>
    <xf numFmtId="49" fontId="20" fillId="0" borderId="0" xfId="1" applyNumberFormat="1" applyFont="1" applyFill="1" applyAlignment="1" applyProtection="1">
      <alignment horizontal="center" vertical="center"/>
    </xf>
    <xf numFmtId="172" fontId="20" fillId="0" borderId="0" xfId="1" applyNumberFormat="1" applyFont="1" applyFill="1" applyAlignment="1" applyProtection="1">
      <alignment horizontal="center" vertical="center"/>
    </xf>
    <xf numFmtId="172" fontId="23" fillId="0" borderId="0" xfId="1" applyNumberFormat="1" applyFont="1" applyFill="1" applyAlignment="1" applyProtection="1">
      <alignment horizontal="center" vertical="center"/>
    </xf>
    <xf numFmtId="172" fontId="20" fillId="0" borderId="0" xfId="1" applyNumberFormat="1" applyFont="1" applyFill="1" applyBorder="1" applyAlignment="1" applyProtection="1">
      <alignment horizontal="center" vertical="center"/>
    </xf>
    <xf numFmtId="172" fontId="21" fillId="0" borderId="0" xfId="1" applyNumberFormat="1" applyFont="1" applyFill="1" applyAlignment="1" applyProtection="1">
      <alignment horizontal="center" vertical="center"/>
    </xf>
    <xf numFmtId="172" fontId="20" fillId="0" borderId="10" xfId="1" applyNumberFormat="1" applyFont="1" applyFill="1" applyBorder="1" applyAlignment="1" applyProtection="1">
      <alignment vertical="center"/>
    </xf>
    <xf numFmtId="172" fontId="20" fillId="0" borderId="11" xfId="1" applyNumberFormat="1" applyFont="1" applyFill="1" applyBorder="1" applyAlignment="1" applyProtection="1">
      <alignment vertical="center"/>
    </xf>
    <xf numFmtId="172" fontId="20" fillId="0" borderId="12" xfId="1" applyNumberFormat="1" applyFont="1" applyFill="1" applyBorder="1" applyAlignment="1" applyProtection="1">
      <alignment vertical="center"/>
    </xf>
    <xf numFmtId="168" fontId="20" fillId="0" borderId="0" xfId="1" applyFont="1" applyFill="1" applyBorder="1" applyAlignment="1" applyProtection="1">
      <alignment horizontal="center" vertical="center"/>
    </xf>
    <xf numFmtId="173" fontId="24" fillId="0" borderId="0" xfId="1" applyNumberFormat="1" applyFont="1" applyFill="1" applyBorder="1" applyAlignment="1" applyProtection="1">
      <alignment vertical="center"/>
    </xf>
    <xf numFmtId="173" fontId="24" fillId="0" borderId="0" xfId="1" applyNumberFormat="1" applyFont="1" applyFill="1" applyBorder="1" applyAlignment="1" applyProtection="1">
      <alignment horizontal="center" vertical="center"/>
    </xf>
    <xf numFmtId="172" fontId="20" fillId="0" borderId="0" xfId="1" applyNumberFormat="1" applyFont="1" applyFill="1" applyBorder="1" applyAlignment="1" applyProtection="1">
      <alignment vertical="center"/>
    </xf>
    <xf numFmtId="0" fontId="25" fillId="33" borderId="0" xfId="1" applyNumberFormat="1" applyFont="1" applyFill="1" applyAlignment="1" applyProtection="1">
      <alignment horizontal="center" vertical="center"/>
    </xf>
    <xf numFmtId="0" fontId="26" fillId="34" borderId="0" xfId="1" applyNumberFormat="1" applyFont="1" applyFill="1" applyAlignment="1" applyProtection="1">
      <alignment horizontal="center" vertical="center"/>
    </xf>
    <xf numFmtId="172" fontId="26" fillId="34" borderId="0" xfId="1" applyNumberFormat="1" applyFont="1" applyFill="1" applyAlignment="1" applyProtection="1">
      <alignment horizontal="center" vertical="center"/>
    </xf>
    <xf numFmtId="174" fontId="26" fillId="34" borderId="0" xfId="1" applyNumberFormat="1" applyFont="1" applyFill="1" applyAlignment="1" applyProtection="1">
      <alignment horizontal="center" vertical="center"/>
    </xf>
    <xf numFmtId="172" fontId="26" fillId="0" borderId="0" xfId="1" applyNumberFormat="1" applyFont="1" applyFill="1" applyAlignment="1" applyProtection="1">
      <alignment horizontal="center" vertical="center"/>
    </xf>
    <xf numFmtId="172" fontId="20" fillId="0" borderId="13" xfId="1" applyNumberFormat="1" applyFont="1" applyFill="1" applyBorder="1" applyAlignment="1" applyProtection="1">
      <alignment vertical="center"/>
    </xf>
    <xf numFmtId="172" fontId="20" fillId="0" borderId="14" xfId="1" applyNumberFormat="1" applyFont="1" applyFill="1" applyBorder="1" applyAlignment="1" applyProtection="1">
      <alignment vertical="center"/>
    </xf>
    <xf numFmtId="1" fontId="23" fillId="0" borderId="0" xfId="1" applyNumberFormat="1" applyFont="1" applyFill="1" applyAlignment="1" applyProtection="1">
      <alignment horizontal="center" vertical="center"/>
    </xf>
    <xf numFmtId="0" fontId="21" fillId="33" borderId="0" xfId="1" applyNumberFormat="1" applyFont="1" applyFill="1" applyAlignment="1" applyProtection="1">
      <alignment horizontal="center" vertical="center"/>
    </xf>
    <xf numFmtId="175" fontId="26" fillId="34" borderId="0" xfId="1" applyNumberFormat="1" applyFont="1" applyFill="1" applyAlignment="1" applyProtection="1">
      <alignment horizontal="center" vertical="top"/>
    </xf>
    <xf numFmtId="175" fontId="26" fillId="34" borderId="0" xfId="0" applyNumberFormat="1" applyFont="1" applyFill="1" applyAlignment="1" applyProtection="1">
      <alignment horizontal="center" vertical="top"/>
    </xf>
    <xf numFmtId="172" fontId="26" fillId="0" borderId="0" xfId="1" applyNumberFormat="1" applyFont="1" applyFill="1" applyAlignment="1" applyProtection="1">
      <alignment horizontal="center" vertical="top"/>
    </xf>
    <xf numFmtId="1" fontId="25" fillId="0" borderId="0" xfId="0" applyNumberFormat="1" applyFont="1" applyFill="1" applyAlignment="1" applyProtection="1">
      <alignment horizontal="center" vertical="center"/>
    </xf>
    <xf numFmtId="1" fontId="27" fillId="0" borderId="0" xfId="1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Alignment="1" applyProtection="1">
      <alignment horizontal="center" vertical="center"/>
    </xf>
    <xf numFmtId="176" fontId="28" fillId="35" borderId="15" xfId="1" applyNumberFormat="1" applyFont="1" applyFill="1" applyBorder="1" applyAlignment="1" applyProtection="1">
      <alignment horizontal="center" vertical="center"/>
    </xf>
    <xf numFmtId="176" fontId="28" fillId="35" borderId="0" xfId="1" applyNumberFormat="1" applyFont="1" applyFill="1" applyBorder="1" applyAlignment="1" applyProtection="1">
      <alignment horizontal="center" vertical="center"/>
    </xf>
    <xf numFmtId="176" fontId="28" fillId="35" borderId="16" xfId="1" applyNumberFormat="1" applyFont="1" applyFill="1" applyBorder="1" applyAlignment="1" applyProtection="1">
      <alignment horizontal="center" vertical="center"/>
    </xf>
    <xf numFmtId="176" fontId="28" fillId="35" borderId="13" xfId="1" applyNumberFormat="1" applyFont="1" applyFill="1" applyBorder="1" applyAlignment="1" applyProtection="1">
      <alignment horizontal="center" vertical="center"/>
    </xf>
    <xf numFmtId="172" fontId="29" fillId="35" borderId="17" xfId="1" applyNumberFormat="1" applyFont="1" applyFill="1" applyBorder="1" applyAlignment="1" applyProtection="1">
      <alignment vertical="center"/>
    </xf>
    <xf numFmtId="171" fontId="19" fillId="35" borderId="11" xfId="1" applyNumberFormat="1" applyFont="1" applyFill="1" applyBorder="1" applyAlignment="1" applyProtection="1">
      <alignment horizontal="center" vertical="center"/>
    </xf>
    <xf numFmtId="171" fontId="19" fillId="35" borderId="12" xfId="1" applyNumberFormat="1" applyFont="1" applyFill="1" applyBorder="1" applyAlignment="1" applyProtection="1">
      <alignment horizontal="center" vertical="center"/>
    </xf>
    <xf numFmtId="171" fontId="19" fillId="35" borderId="18" xfId="1" applyNumberFormat="1" applyFont="1" applyFill="1" applyBorder="1" applyAlignment="1" applyProtection="1">
      <alignment horizontal="center" vertical="center"/>
    </xf>
    <xf numFmtId="171" fontId="19" fillId="35" borderId="19" xfId="1" applyNumberFormat="1" applyFont="1" applyFill="1" applyBorder="1" applyAlignment="1" applyProtection="1">
      <alignment horizontal="center" vertical="center"/>
    </xf>
    <xf numFmtId="172" fontId="19" fillId="35" borderId="10" xfId="1" applyNumberFormat="1" applyFont="1" applyFill="1" applyBorder="1" applyAlignment="1" applyProtection="1">
      <alignment horizontal="center" vertical="center"/>
    </xf>
    <xf numFmtId="172" fontId="19" fillId="35" borderId="13" xfId="1" applyNumberFormat="1" applyFont="1" applyFill="1" applyBorder="1" applyAlignment="1" applyProtection="1">
      <alignment horizontal="center" vertical="center"/>
    </xf>
    <xf numFmtId="172" fontId="19" fillId="35" borderId="0" xfId="1" applyNumberFormat="1" applyFont="1" applyFill="1" applyBorder="1" applyAlignment="1" applyProtection="1">
      <alignment horizontal="center" vertical="center"/>
    </xf>
    <xf numFmtId="172" fontId="19" fillId="35" borderId="11" xfId="1" applyNumberFormat="1" applyFont="1" applyFill="1" applyBorder="1" applyAlignment="1" applyProtection="1">
      <alignment horizontal="center" vertical="center"/>
    </xf>
    <xf numFmtId="172" fontId="19" fillId="35" borderId="20" xfId="1" applyNumberFormat="1" applyFont="1" applyFill="1" applyBorder="1" applyAlignment="1" applyProtection="1">
      <alignment horizontal="center" vertical="center"/>
    </xf>
    <xf numFmtId="172" fontId="19" fillId="35" borderId="21" xfId="1" applyNumberFormat="1" applyFont="1" applyFill="1" applyBorder="1" applyAlignment="1" applyProtection="1">
      <alignment horizontal="center" vertical="center"/>
    </xf>
    <xf numFmtId="172" fontId="19" fillId="35" borderId="22" xfId="1" applyNumberFormat="1" applyFont="1" applyFill="1" applyBorder="1" applyAlignment="1" applyProtection="1">
      <alignment horizontal="center" vertical="center"/>
    </xf>
    <xf numFmtId="172" fontId="19" fillId="35" borderId="23" xfId="1" applyNumberFormat="1" applyFont="1" applyFill="1" applyBorder="1" applyAlignment="1" applyProtection="1">
      <alignment horizontal="center" vertical="center"/>
    </xf>
    <xf numFmtId="0" fontId="21" fillId="0" borderId="24" xfId="1" applyNumberFormat="1" applyFont="1" applyFill="1" applyBorder="1" applyAlignment="1" applyProtection="1">
      <alignment horizontal="center" vertical="center"/>
    </xf>
    <xf numFmtId="0" fontId="21" fillId="0" borderId="25" xfId="1" applyNumberFormat="1" applyFont="1" applyFill="1" applyBorder="1" applyAlignment="1" applyProtection="1">
      <alignment horizontal="center" vertical="center"/>
    </xf>
    <xf numFmtId="0" fontId="21" fillId="0" borderId="26" xfId="1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Fill="1" applyAlignment="1" applyProtection="1">
      <alignment horizontal="center" vertical="center"/>
    </xf>
    <xf numFmtId="172" fontId="27" fillId="0" borderId="0" xfId="1" applyNumberFormat="1" applyFont="1" applyFill="1" applyAlignment="1" applyProtection="1">
      <alignment horizontal="center" vertical="center"/>
    </xf>
    <xf numFmtId="176" fontId="29" fillId="35" borderId="27" xfId="1" applyNumberFormat="1" applyFont="1" applyFill="1" applyBorder="1" applyAlignment="1" applyProtection="1">
      <alignment horizontal="center" vertical="center"/>
    </xf>
    <xf numFmtId="49" fontId="19" fillId="35" borderId="10" xfId="1" applyNumberFormat="1" applyFont="1" applyFill="1" applyBorder="1" applyAlignment="1" applyProtection="1">
      <alignment horizontal="center" vertical="center" shrinkToFit="1"/>
    </xf>
    <xf numFmtId="49" fontId="19" fillId="35" borderId="12" xfId="1" applyNumberFormat="1" applyFont="1" applyFill="1" applyBorder="1" applyAlignment="1" applyProtection="1">
      <alignment horizontal="center" vertical="center" shrinkToFit="1"/>
    </xf>
    <xf numFmtId="49" fontId="19" fillId="35" borderId="11" xfId="1" applyNumberFormat="1" applyFont="1" applyFill="1" applyBorder="1" applyAlignment="1" applyProtection="1">
      <alignment horizontal="center" vertical="center" shrinkToFit="1"/>
    </xf>
    <xf numFmtId="177" fontId="26" fillId="35" borderId="15" xfId="1" applyNumberFormat="1" applyFont="1" applyFill="1" applyBorder="1" applyAlignment="1" applyProtection="1"/>
    <xf numFmtId="177" fontId="30" fillId="35" borderId="16" xfId="1" applyNumberFormat="1" applyFont="1" applyFill="1" applyBorder="1" applyAlignment="1" applyProtection="1">
      <alignment wrapText="1"/>
    </xf>
    <xf numFmtId="177" fontId="26" fillId="35" borderId="28" xfId="1" applyNumberFormat="1" applyFont="1" applyFill="1" applyBorder="1" applyAlignment="1" applyProtection="1"/>
    <xf numFmtId="177" fontId="30" fillId="35" borderId="29" xfId="1" applyNumberFormat="1" applyFont="1" applyFill="1" applyBorder="1" applyAlignment="1" applyProtection="1"/>
    <xf numFmtId="177" fontId="26" fillId="35" borderId="16" xfId="1" applyNumberFormat="1" applyFont="1" applyFill="1" applyBorder="1" applyAlignment="1" applyProtection="1"/>
    <xf numFmtId="177" fontId="30" fillId="35" borderId="16" xfId="1" applyNumberFormat="1" applyFont="1" applyFill="1" applyBorder="1" applyAlignment="1" applyProtection="1"/>
    <xf numFmtId="177" fontId="26" fillId="35" borderId="29" xfId="1" applyNumberFormat="1" applyFont="1" applyFill="1" applyBorder="1" applyAlignment="1" applyProtection="1"/>
    <xf numFmtId="177" fontId="26" fillId="35" borderId="17" xfId="1" applyNumberFormat="1" applyFont="1" applyFill="1" applyBorder="1" applyAlignment="1" applyProtection="1"/>
    <xf numFmtId="172" fontId="20" fillId="35" borderId="30" xfId="1" applyNumberFormat="1" applyFont="1" applyFill="1" applyBorder="1" applyAlignment="1" applyProtection="1">
      <alignment horizontal="center" textRotation="90" wrapText="1"/>
    </xf>
    <xf numFmtId="172" fontId="20" fillId="35" borderId="31" xfId="1" applyNumberFormat="1" applyFont="1" applyFill="1" applyBorder="1" applyAlignment="1" applyProtection="1">
      <alignment horizontal="center" textRotation="90" wrapText="1"/>
    </xf>
    <xf numFmtId="172" fontId="20" fillId="35" borderId="32" xfId="1" applyNumberFormat="1" applyFont="1" applyFill="1" applyBorder="1" applyAlignment="1" applyProtection="1">
      <alignment horizontal="center" textRotation="90" wrapText="1"/>
    </xf>
    <xf numFmtId="170" fontId="20" fillId="35" borderId="33" xfId="1" applyNumberFormat="1" applyFont="1" applyFill="1" applyBorder="1" applyAlignment="1" applyProtection="1">
      <alignment horizontal="center" textRotation="90" wrapText="1"/>
    </xf>
    <xf numFmtId="170" fontId="20" fillId="35" borderId="34" xfId="1" applyNumberFormat="1" applyFont="1" applyFill="1" applyBorder="1" applyAlignment="1" applyProtection="1">
      <alignment horizontal="center" textRotation="90" wrapText="1"/>
    </xf>
    <xf numFmtId="170" fontId="20" fillId="35" borderId="35" xfId="1" applyNumberFormat="1" applyFont="1" applyFill="1" applyBorder="1" applyAlignment="1" applyProtection="1">
      <alignment horizontal="center" textRotation="90" wrapText="1"/>
    </xf>
    <xf numFmtId="170" fontId="20" fillId="35" borderId="36" xfId="1" applyNumberFormat="1" applyFont="1" applyFill="1" applyBorder="1" applyAlignment="1" applyProtection="1">
      <alignment horizontal="center" textRotation="90" wrapText="1"/>
    </xf>
    <xf numFmtId="170" fontId="20" fillId="35" borderId="37" xfId="1" applyNumberFormat="1" applyFont="1" applyFill="1" applyBorder="1" applyAlignment="1" applyProtection="1">
      <alignment horizontal="center" textRotation="90" wrapText="1"/>
    </xf>
    <xf numFmtId="170" fontId="20" fillId="35" borderId="38" xfId="1" applyNumberFormat="1" applyFont="1" applyFill="1" applyBorder="1" applyAlignment="1" applyProtection="1">
      <alignment horizontal="center" textRotation="90" wrapText="1"/>
    </xf>
    <xf numFmtId="172" fontId="31" fillId="35" borderId="39" xfId="1" applyNumberFormat="1" applyFont="1" applyFill="1" applyBorder="1" applyAlignment="1" applyProtection="1">
      <alignment horizontal="center" vertical="center" textRotation="90" wrapText="1"/>
    </xf>
    <xf numFmtId="172" fontId="31" fillId="35" borderId="40" xfId="1" applyNumberFormat="1" applyFont="1" applyFill="1" applyBorder="1" applyAlignment="1" applyProtection="1">
      <alignment horizontal="center" vertical="center" textRotation="90" wrapText="1"/>
    </xf>
    <xf numFmtId="172" fontId="31" fillId="35" borderId="41" xfId="1" applyNumberFormat="1" applyFont="1" applyFill="1" applyBorder="1" applyAlignment="1" applyProtection="1">
      <alignment horizontal="center" vertical="center" textRotation="90" wrapText="1"/>
    </xf>
    <xf numFmtId="172" fontId="31" fillId="35" borderId="42" xfId="1" applyNumberFormat="1" applyFont="1" applyFill="1" applyBorder="1" applyAlignment="1" applyProtection="1">
      <alignment horizontal="center" vertical="center" textRotation="90" wrapText="1"/>
    </xf>
    <xf numFmtId="49" fontId="19" fillId="35" borderId="43" xfId="1" applyNumberFormat="1" applyFont="1" applyFill="1" applyBorder="1" applyAlignment="1" applyProtection="1">
      <alignment horizontal="center" vertical="center" shrinkToFit="1"/>
    </xf>
    <xf numFmtId="49" fontId="19" fillId="35" borderId="27" xfId="1" applyNumberFormat="1" applyFont="1" applyFill="1" applyBorder="1" applyAlignment="1" applyProtection="1">
      <alignment horizontal="center" vertical="center" shrinkToFit="1"/>
    </xf>
    <xf numFmtId="49" fontId="19" fillId="35" borderId="44" xfId="1" applyNumberFormat="1" applyFont="1" applyFill="1" applyBorder="1" applyAlignment="1" applyProtection="1">
      <alignment horizontal="center" vertical="center" shrinkToFit="1"/>
    </xf>
    <xf numFmtId="169" fontId="18" fillId="35" borderId="13" xfId="0" applyNumberFormat="1" applyFont="1" applyFill="1" applyBorder="1" applyAlignment="1" applyProtection="1">
      <alignment horizontal="center" vertical="center" textRotation="45"/>
    </xf>
    <xf numFmtId="169" fontId="18" fillId="35" borderId="0" xfId="0" applyNumberFormat="1" applyFont="1" applyFill="1" applyBorder="1" applyAlignment="1" applyProtection="1">
      <alignment horizontal="center" vertical="center" textRotation="45"/>
    </xf>
    <xf numFmtId="169" fontId="18" fillId="35" borderId="42" xfId="0" applyNumberFormat="1" applyFont="1" applyFill="1" applyBorder="1" applyAlignment="1" applyProtection="1">
      <alignment horizontal="center" vertical="center" textRotation="45"/>
    </xf>
    <xf numFmtId="169" fontId="18" fillId="35" borderId="45" xfId="0" applyNumberFormat="1" applyFont="1" applyFill="1" applyBorder="1" applyAlignment="1" applyProtection="1">
      <alignment horizontal="center" vertical="center" textRotation="45"/>
    </xf>
    <xf numFmtId="169" fontId="18" fillId="35" borderId="42" xfId="1" applyNumberFormat="1" applyFont="1" applyFill="1" applyBorder="1" applyAlignment="1" applyProtection="1">
      <alignment horizontal="center" vertical="center" textRotation="45"/>
    </xf>
    <xf numFmtId="169" fontId="18" fillId="35" borderId="0" xfId="1" applyNumberFormat="1" applyFont="1" applyFill="1" applyBorder="1" applyAlignment="1" applyProtection="1">
      <alignment horizontal="center" vertical="center" textRotation="45"/>
    </xf>
    <xf numFmtId="169" fontId="18" fillId="35" borderId="45" xfId="1" applyNumberFormat="1" applyFont="1" applyFill="1" applyBorder="1" applyAlignment="1" applyProtection="1">
      <alignment horizontal="center" vertical="center" textRotation="45"/>
    </xf>
    <xf numFmtId="169" fontId="18" fillId="35" borderId="14" xfId="1" applyNumberFormat="1" applyFont="1" applyFill="1" applyBorder="1" applyAlignment="1" applyProtection="1">
      <alignment horizontal="center" vertical="center" textRotation="45"/>
    </xf>
    <xf numFmtId="49" fontId="29" fillId="35" borderId="46" xfId="1" applyNumberFormat="1" applyFont="1" applyFill="1" applyBorder="1" applyAlignment="1" applyProtection="1">
      <alignment horizontal="right" vertical="center" wrapText="1"/>
    </xf>
    <xf numFmtId="172" fontId="32" fillId="35" borderId="47" xfId="1" applyNumberFormat="1" applyFont="1" applyFill="1" applyBorder="1" applyAlignment="1" applyProtection="1">
      <alignment horizontal="center" vertical="center" wrapText="1"/>
    </xf>
    <xf numFmtId="172" fontId="29" fillId="35" borderId="48" xfId="1" applyNumberFormat="1" applyFont="1" applyFill="1" applyBorder="1" applyAlignment="1" applyProtection="1">
      <alignment horizontal="center" vertical="center" wrapText="1"/>
    </xf>
    <xf numFmtId="178" fontId="33" fillId="35" borderId="49" xfId="1" applyNumberFormat="1" applyFont="1" applyFill="1" applyBorder="1" applyAlignment="1" applyProtection="1">
      <alignment horizontal="center" vertical="center" wrapText="1"/>
    </xf>
    <xf numFmtId="178" fontId="34" fillId="35" borderId="18" xfId="1" applyNumberFormat="1" applyFont="1" applyFill="1" applyBorder="1" applyAlignment="1" applyProtection="1">
      <alignment horizontal="left" vertical="top" wrapText="1"/>
    </xf>
    <xf numFmtId="178" fontId="33" fillId="35" borderId="50" xfId="1" applyNumberFormat="1" applyFont="1" applyFill="1" applyBorder="1" applyAlignment="1" applyProtection="1">
      <alignment horizontal="center" vertical="center" wrapText="1"/>
    </xf>
    <xf numFmtId="178" fontId="34" fillId="35" borderId="51" xfId="1" applyNumberFormat="1" applyFont="1" applyFill="1" applyBorder="1" applyAlignment="1" applyProtection="1">
      <alignment horizontal="left" vertical="top" wrapText="1"/>
    </xf>
    <xf numFmtId="178" fontId="33" fillId="35" borderId="18" xfId="1" applyNumberFormat="1" applyFont="1" applyFill="1" applyBorder="1" applyAlignment="1" applyProtection="1">
      <alignment horizontal="center" vertical="center" wrapText="1"/>
    </xf>
    <xf numFmtId="178" fontId="33" fillId="35" borderId="18" xfId="1" applyNumberFormat="1" applyFont="1" applyFill="1" applyBorder="1" applyAlignment="1" applyProtection="1">
      <alignment horizontal="center" vertical="center"/>
    </xf>
    <xf numFmtId="178" fontId="34" fillId="35" borderId="18" xfId="1" applyNumberFormat="1" applyFont="1" applyFill="1" applyBorder="1" applyAlignment="1" applyProtection="1">
      <alignment horizontal="center" vertical="top"/>
    </xf>
    <xf numFmtId="178" fontId="33" fillId="35" borderId="50" xfId="1" applyNumberFormat="1" applyFont="1" applyFill="1" applyBorder="1" applyAlignment="1" applyProtection="1">
      <alignment horizontal="center" vertical="center"/>
    </xf>
    <xf numFmtId="178" fontId="34" fillId="35" borderId="51" xfId="1" applyNumberFormat="1" applyFont="1" applyFill="1" applyBorder="1" applyAlignment="1" applyProtection="1">
      <alignment horizontal="center" vertical="top"/>
    </xf>
    <xf numFmtId="178" fontId="34" fillId="35" borderId="19" xfId="1" applyNumberFormat="1" applyFont="1" applyFill="1" applyBorder="1" applyAlignment="1" applyProtection="1">
      <alignment horizontal="center" vertical="top"/>
    </xf>
    <xf numFmtId="172" fontId="35" fillId="35" borderId="52" xfId="1" applyNumberFormat="1" applyFont="1" applyFill="1" applyBorder="1" applyAlignment="1" applyProtection="1">
      <alignment horizontal="center" vertical="center" textRotation="90" wrapText="1"/>
    </xf>
    <xf numFmtId="172" fontId="35" fillId="35" borderId="53" xfId="1" applyNumberFormat="1" applyFont="1" applyFill="1" applyBorder="1" applyAlignment="1" applyProtection="1">
      <alignment horizontal="center" vertical="center" textRotation="90" wrapText="1"/>
    </xf>
    <xf numFmtId="172" fontId="35" fillId="35" borderId="50" xfId="1" applyNumberFormat="1" applyFont="1" applyFill="1" applyBorder="1" applyAlignment="1" applyProtection="1">
      <alignment horizontal="center" vertical="center" textRotation="90" wrapText="1"/>
    </xf>
    <xf numFmtId="0" fontId="36" fillId="35" borderId="54" xfId="1" applyNumberFormat="1" applyFont="1" applyFill="1" applyBorder="1" applyAlignment="1" applyProtection="1">
      <alignment horizontal="center" vertical="center" shrinkToFit="1"/>
    </xf>
    <xf numFmtId="172" fontId="21" fillId="35" borderId="55" xfId="1" applyNumberFormat="1" applyFont="1" applyFill="1" applyBorder="1" applyAlignment="1" applyProtection="1">
      <alignment horizontal="center" vertical="center" wrapText="1"/>
    </xf>
    <xf numFmtId="1" fontId="21" fillId="35" borderId="56" xfId="1" applyNumberFormat="1" applyFont="1" applyFill="1" applyBorder="1" applyAlignment="1" applyProtection="1">
      <alignment horizontal="center" vertical="center"/>
    </xf>
    <xf numFmtId="1" fontId="33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37" fillId="36" borderId="57" xfId="1" applyNumberFormat="1" applyFont="1" applyFill="1" applyBorder="1" applyAlignment="1" applyProtection="1">
      <alignment horizontal="center" vertical="top" shrinkToFit="1"/>
      <protection locked="0"/>
    </xf>
    <xf numFmtId="1" fontId="33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37" fillId="36" borderId="59" xfId="1" applyNumberFormat="1" applyFont="1" applyFill="1" applyBorder="1" applyAlignment="1" applyProtection="1">
      <alignment horizontal="center" vertical="top" shrinkToFit="1"/>
      <protection locked="0"/>
    </xf>
    <xf numFmtId="1" fontId="37" fillId="36" borderId="60" xfId="1" applyNumberFormat="1" applyFont="1" applyFill="1" applyBorder="1" applyAlignment="1" applyProtection="1">
      <alignment horizontal="center" vertical="top" shrinkToFit="1"/>
      <protection locked="0"/>
    </xf>
    <xf numFmtId="179" fontId="33" fillId="35" borderId="61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2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3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4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5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6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7" xfId="1" applyNumberFormat="1" applyFont="1" applyFill="1" applyBorder="1" applyAlignment="1" applyProtection="1">
      <alignment horizontal="center" vertical="center" wrapText="1"/>
      <protection hidden="1"/>
    </xf>
    <xf numFmtId="179" fontId="38" fillId="35" borderId="68" xfId="1" applyNumberFormat="1" applyFont="1" applyFill="1" applyBorder="1" applyAlignment="1" applyProtection="1">
      <alignment horizontal="center" vertical="center" wrapText="1"/>
      <protection hidden="1"/>
    </xf>
    <xf numFmtId="172" fontId="22" fillId="0" borderId="25" xfId="1" applyNumberFormat="1" applyFont="1" applyFill="1" applyBorder="1" applyAlignment="1" applyProtection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>
          <bgColor rgb="FFCCFFCC"/>
        </patternFill>
      </fill>
    </dxf>
    <dxf>
      <fill>
        <patternFill>
          <bgColor rgb="FF339966"/>
        </patternFill>
      </fill>
    </dxf>
    <dxf>
      <fill>
        <patternFill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"/>
  <sheetViews>
    <sheetView showGridLines="0" tabSelected="1" zoomScale="96" workbookViewId="0">
      <pane xSplit="3" ySplit="10" topLeftCell="D16" activePane="bottomRight" state="frozen"/>
      <selection activeCell="B38" sqref="B38"/>
      <selection pane="topRight" activeCell="B38" sqref="B38"/>
      <selection pane="bottomLeft" activeCell="B38" sqref="B38"/>
      <selection pane="bottomRight" activeCell="V18" sqref="V18"/>
    </sheetView>
  </sheetViews>
  <sheetFormatPr defaultColWidth="15.7109375" defaultRowHeight="18.75" customHeight="1" x14ac:dyDescent="0.2"/>
  <cols>
    <col min="1" max="1" width="5.7109375" style="2" customWidth="1"/>
    <col min="2" max="2" width="24.28515625" style="3" customWidth="1"/>
    <col min="3" max="3" width="4.28515625" style="3" customWidth="1"/>
    <col min="4" max="4" width="3.42578125" style="4" customWidth="1"/>
    <col min="5" max="5" width="1.85546875" style="4" customWidth="1"/>
    <col min="6" max="6" width="3.5703125" style="4" customWidth="1"/>
    <col min="7" max="7" width="1.7109375" style="4" customWidth="1"/>
    <col min="8" max="8" width="3.5703125" style="4" customWidth="1"/>
    <col min="9" max="9" width="1.7109375" style="4" customWidth="1"/>
    <col min="10" max="10" width="3.5703125" style="4" customWidth="1"/>
    <col min="11" max="11" width="1.7109375" style="4" customWidth="1"/>
    <col min="12" max="12" width="3.5703125" style="4" customWidth="1"/>
    <col min="13" max="13" width="1.7109375" style="4" customWidth="1"/>
    <col min="14" max="14" width="3.5703125" style="4" customWidth="1"/>
    <col min="15" max="15" width="1.7109375" style="4" customWidth="1"/>
    <col min="16" max="16" width="3.5703125" style="4" customWidth="1"/>
    <col min="17" max="17" width="1.7109375" style="4" customWidth="1"/>
    <col min="18" max="18" width="3.5703125" style="4" customWidth="1"/>
    <col min="19" max="19" width="1.7109375" style="4" customWidth="1"/>
    <col min="20" max="20" width="3.5703125" style="4" customWidth="1"/>
    <col min="21" max="21" width="1.7109375" style="4" customWidth="1"/>
    <col min="22" max="22" width="3.5703125" style="4" customWidth="1"/>
    <col min="23" max="23" width="1.7109375" style="4" customWidth="1"/>
    <col min="24" max="24" width="3.5703125" style="4" customWidth="1"/>
    <col min="25" max="25" width="1.7109375" style="4" customWidth="1"/>
    <col min="26" max="26" width="3.5703125" style="4" customWidth="1"/>
    <col min="27" max="27" width="1.7109375" style="4" customWidth="1"/>
    <col min="28" max="28" width="3.5703125" style="4" customWidth="1"/>
    <col min="29" max="29" width="2.28515625" style="4" customWidth="1"/>
    <col min="30" max="30" width="3.5703125" style="4" customWidth="1"/>
    <col min="31" max="31" width="1.7109375" style="4" customWidth="1"/>
    <col min="32" max="32" width="3.5703125" style="4" customWidth="1"/>
    <col min="33" max="33" width="1.7109375" style="4" customWidth="1"/>
    <col min="34" max="34" width="3.5703125" style="4" customWidth="1"/>
    <col min="35" max="35" width="1.7109375" style="4" customWidth="1"/>
    <col min="36" max="36" width="3.5703125" style="4" customWidth="1"/>
    <col min="37" max="37" width="1.7109375" style="4" customWidth="1"/>
    <col min="38" max="38" width="3.5703125" style="4" customWidth="1"/>
    <col min="39" max="39" width="1.7109375" style="4" customWidth="1"/>
    <col min="40" max="40" width="3.5703125" style="4" customWidth="1"/>
    <col min="41" max="41" width="1.7109375" style="4" customWidth="1"/>
    <col min="42" max="42" width="3.5703125" style="4" customWidth="1"/>
    <col min="43" max="43" width="1.7109375" style="4" customWidth="1"/>
    <col min="44" max="44" width="3.5703125" style="4" customWidth="1"/>
    <col min="45" max="45" width="1.7109375" style="4" customWidth="1"/>
    <col min="46" max="46" width="3.5703125" style="4" customWidth="1"/>
    <col min="47" max="47" width="1.7109375" style="4" customWidth="1"/>
    <col min="48" max="48" width="3.5703125" style="4" customWidth="1"/>
    <col min="49" max="49" width="1.7109375" style="4" customWidth="1"/>
    <col min="50" max="50" width="3.5703125" style="4" customWidth="1"/>
    <col min="51" max="51" width="1.7109375" style="4" customWidth="1"/>
    <col min="52" max="52" width="3.5703125" style="4" customWidth="1"/>
    <col min="53" max="53" width="1.7109375" style="4" customWidth="1"/>
    <col min="54" max="54" width="3.42578125" style="4" customWidth="1"/>
    <col min="55" max="55" width="1.7109375" style="4" customWidth="1"/>
    <col min="56" max="56" width="3.42578125" style="4" customWidth="1"/>
    <col min="57" max="57" width="1.7109375" style="4" customWidth="1"/>
    <col min="58" max="58" width="3.42578125" style="4" customWidth="1"/>
    <col min="59" max="59" width="1.7109375" style="4" customWidth="1"/>
    <col min="60" max="60" width="3.42578125" style="4" customWidth="1"/>
    <col min="61" max="61" width="1.7109375" style="4" customWidth="1"/>
    <col min="62" max="62" width="3.42578125" style="4" customWidth="1"/>
    <col min="63" max="63" width="1.7109375" style="4" customWidth="1"/>
    <col min="64" max="64" width="3.42578125" style="4" customWidth="1"/>
    <col min="65" max="65" width="1.7109375" style="4" customWidth="1"/>
    <col min="66" max="66" width="5" style="5" customWidth="1"/>
    <col min="67" max="67" width="5.28515625" style="5" customWidth="1"/>
    <col min="68" max="73" width="5" style="5" customWidth="1"/>
    <col min="74" max="74" width="4" style="5" customWidth="1"/>
    <col min="75" max="83" width="3.85546875" style="5" customWidth="1"/>
    <col min="84" max="84" width="11.85546875" style="6" bestFit="1" customWidth="1"/>
    <col min="85" max="85" width="14.7109375" style="6" bestFit="1" customWidth="1"/>
    <col min="86" max="86" width="15.7109375" style="1"/>
    <col min="87" max="87" width="13.42578125" style="1" bestFit="1" customWidth="1"/>
    <col min="88" max="88" width="12.5703125" style="1" bestFit="1" customWidth="1"/>
    <col min="89" max="89" width="11.140625" style="1" bestFit="1" customWidth="1"/>
    <col min="90" max="90" width="11.5703125" style="1" bestFit="1" customWidth="1"/>
    <col min="91" max="91" width="10.85546875" style="1" bestFit="1" customWidth="1"/>
    <col min="92" max="92" width="14" style="1" bestFit="1" customWidth="1"/>
    <col min="93" max="93" width="17.7109375" style="1" bestFit="1" customWidth="1"/>
    <col min="94" max="94" width="16.5703125" style="1" bestFit="1" customWidth="1"/>
    <col min="95" max="95" width="17.28515625" style="1" bestFit="1" customWidth="1"/>
    <col min="96" max="96" width="16.85546875" style="1" bestFit="1" customWidth="1"/>
    <col min="97" max="102" width="4.140625" style="1" bestFit="1" customWidth="1"/>
    <col min="103" max="105" width="5" style="1" bestFit="1" customWidth="1"/>
    <col min="106" max="108" width="5.28515625" style="1" bestFit="1" customWidth="1"/>
    <col min="109" max="109" width="6.85546875" style="1" bestFit="1" customWidth="1"/>
    <col min="110" max="111" width="5.140625" style="1" bestFit="1" customWidth="1"/>
    <col min="112" max="112" width="7" style="1" bestFit="1" customWidth="1"/>
    <col min="113" max="121" width="5.85546875" style="1" bestFit="1" customWidth="1"/>
    <col min="122" max="127" width="7" style="1" bestFit="1" customWidth="1"/>
    <col min="128" max="128" width="4.7109375" style="1" customWidth="1"/>
    <col min="129" max="16384" width="15.7109375" style="1"/>
  </cols>
  <sheetData>
    <row r="1" spans="1:135" ht="22.5" hidden="1" customHeight="1" x14ac:dyDescent="0.2">
      <c r="A1" s="7" t="s">
        <v>0</v>
      </c>
      <c r="B1" s="8"/>
      <c r="C1" s="9"/>
      <c r="D1" s="10">
        <v>22</v>
      </c>
      <c r="E1" s="10"/>
      <c r="F1" s="10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4" t="s">
        <v>1</v>
      </c>
      <c r="CG1" s="15" t="s">
        <v>2</v>
      </c>
      <c r="CH1" s="15" t="s">
        <v>3</v>
      </c>
      <c r="CI1" s="16" t="s">
        <v>4</v>
      </c>
      <c r="CJ1" s="16" t="s">
        <v>5</v>
      </c>
      <c r="CK1" s="16" t="s">
        <v>6</v>
      </c>
      <c r="CL1" s="16" t="s">
        <v>7</v>
      </c>
      <c r="CM1" s="16" t="s">
        <v>8</v>
      </c>
      <c r="CN1" s="16" t="s">
        <v>9</v>
      </c>
      <c r="CO1" s="16" t="s">
        <v>10</v>
      </c>
      <c r="CP1" s="16">
        <v>1</v>
      </c>
      <c r="CQ1" s="16">
        <v>2</v>
      </c>
      <c r="CR1" s="16">
        <v>3</v>
      </c>
      <c r="CS1" s="16">
        <v>4</v>
      </c>
      <c r="CT1" s="16">
        <v>5</v>
      </c>
      <c r="CU1" s="16">
        <v>6</v>
      </c>
      <c r="CV1" s="16">
        <v>7</v>
      </c>
      <c r="CW1" s="16">
        <v>8</v>
      </c>
      <c r="CX1" s="16">
        <v>9</v>
      </c>
      <c r="CY1" s="16">
        <v>10</v>
      </c>
      <c r="CZ1" s="16">
        <v>11</v>
      </c>
      <c r="DA1" s="16">
        <v>12</v>
      </c>
      <c r="DB1" s="16">
        <v>13</v>
      </c>
      <c r="DC1" s="16">
        <v>14</v>
      </c>
      <c r="DD1" s="16">
        <v>15</v>
      </c>
      <c r="DE1" s="17">
        <v>16</v>
      </c>
      <c r="DF1" s="18"/>
      <c r="DG1" s="18"/>
      <c r="DH1" s="18"/>
      <c r="DI1" s="18"/>
      <c r="DJ1" s="18"/>
      <c r="DK1" s="18"/>
      <c r="DL1" s="18"/>
      <c r="DM1" s="18"/>
    </row>
    <row r="2" spans="1:135" ht="15.75" hidden="1" customHeight="1" x14ac:dyDescent="0.2">
      <c r="A2" s="19" t="s">
        <v>11</v>
      </c>
      <c r="B2" s="13"/>
      <c r="C2" s="20"/>
      <c r="D2" s="21">
        <f t="shared" ref="D2:AI2" si="0">IF(MONTH(D$8) = MONTH($A$6),1,0)</f>
        <v>1</v>
      </c>
      <c r="E2" s="21">
        <f t="shared" si="0"/>
        <v>1</v>
      </c>
      <c r="F2" s="21">
        <f t="shared" si="0"/>
        <v>1</v>
      </c>
      <c r="G2" s="21">
        <f t="shared" si="0"/>
        <v>1</v>
      </c>
      <c r="H2" s="21">
        <f t="shared" si="0"/>
        <v>1</v>
      </c>
      <c r="I2" s="21">
        <f t="shared" si="0"/>
        <v>1</v>
      </c>
      <c r="J2" s="21">
        <f t="shared" si="0"/>
        <v>1</v>
      </c>
      <c r="K2" s="21">
        <f t="shared" si="0"/>
        <v>1</v>
      </c>
      <c r="L2" s="21">
        <f t="shared" si="0"/>
        <v>1</v>
      </c>
      <c r="M2" s="21">
        <f t="shared" si="0"/>
        <v>1</v>
      </c>
      <c r="N2" s="21">
        <f t="shared" si="0"/>
        <v>1</v>
      </c>
      <c r="O2" s="21">
        <f t="shared" si="0"/>
        <v>1</v>
      </c>
      <c r="P2" s="21">
        <f t="shared" si="0"/>
        <v>1</v>
      </c>
      <c r="Q2" s="21">
        <f t="shared" si="0"/>
        <v>1</v>
      </c>
      <c r="R2" s="21">
        <f t="shared" si="0"/>
        <v>1</v>
      </c>
      <c r="S2" s="21">
        <f t="shared" si="0"/>
        <v>1</v>
      </c>
      <c r="T2" s="21">
        <f t="shared" si="0"/>
        <v>1</v>
      </c>
      <c r="U2" s="21">
        <f t="shared" si="0"/>
        <v>1</v>
      </c>
      <c r="V2" s="21">
        <f t="shared" si="0"/>
        <v>1</v>
      </c>
      <c r="W2" s="21">
        <f t="shared" si="0"/>
        <v>1</v>
      </c>
      <c r="X2" s="21">
        <f t="shared" si="0"/>
        <v>1</v>
      </c>
      <c r="Y2" s="21">
        <f t="shared" si="0"/>
        <v>1</v>
      </c>
      <c r="Z2" s="21">
        <f t="shared" si="0"/>
        <v>1</v>
      </c>
      <c r="AA2" s="21">
        <f t="shared" si="0"/>
        <v>1</v>
      </c>
      <c r="AB2" s="21">
        <f t="shared" si="0"/>
        <v>1</v>
      </c>
      <c r="AC2" s="21">
        <f t="shared" si="0"/>
        <v>1</v>
      </c>
      <c r="AD2" s="21">
        <f t="shared" si="0"/>
        <v>1</v>
      </c>
      <c r="AE2" s="21">
        <f t="shared" si="0"/>
        <v>1</v>
      </c>
      <c r="AF2" s="21">
        <f t="shared" si="0"/>
        <v>1</v>
      </c>
      <c r="AG2" s="21">
        <f t="shared" si="0"/>
        <v>1</v>
      </c>
      <c r="AH2" s="21">
        <f t="shared" si="0"/>
        <v>1</v>
      </c>
      <c r="AI2" s="21">
        <f t="shared" si="0"/>
        <v>1</v>
      </c>
      <c r="AJ2" s="21">
        <f t="shared" ref="AJ2:BM2" si="1">IF(MONTH(AJ$8) = MONTH($A$6),1,0)</f>
        <v>1</v>
      </c>
      <c r="AK2" s="21">
        <f t="shared" si="1"/>
        <v>1</v>
      </c>
      <c r="AL2" s="21">
        <f t="shared" si="1"/>
        <v>1</v>
      </c>
      <c r="AM2" s="21">
        <f t="shared" si="1"/>
        <v>1</v>
      </c>
      <c r="AN2" s="21">
        <f t="shared" si="1"/>
        <v>1</v>
      </c>
      <c r="AO2" s="21">
        <f t="shared" si="1"/>
        <v>1</v>
      </c>
      <c r="AP2" s="21">
        <f t="shared" si="1"/>
        <v>1</v>
      </c>
      <c r="AQ2" s="21">
        <f t="shared" si="1"/>
        <v>1</v>
      </c>
      <c r="AR2" s="21">
        <f t="shared" si="1"/>
        <v>1</v>
      </c>
      <c r="AS2" s="21">
        <f t="shared" si="1"/>
        <v>1</v>
      </c>
      <c r="AT2" s="21">
        <f t="shared" si="1"/>
        <v>1</v>
      </c>
      <c r="AU2" s="21">
        <f t="shared" si="1"/>
        <v>1</v>
      </c>
      <c r="AV2" s="21">
        <f t="shared" si="1"/>
        <v>1</v>
      </c>
      <c r="AW2" s="21">
        <f t="shared" si="1"/>
        <v>1</v>
      </c>
      <c r="AX2" s="21">
        <f t="shared" si="1"/>
        <v>1</v>
      </c>
      <c r="AY2" s="21">
        <f t="shared" si="1"/>
        <v>1</v>
      </c>
      <c r="AZ2" s="21">
        <f t="shared" si="1"/>
        <v>1</v>
      </c>
      <c r="BA2" s="21">
        <f t="shared" si="1"/>
        <v>1</v>
      </c>
      <c r="BB2" s="21">
        <f t="shared" si="1"/>
        <v>1</v>
      </c>
      <c r="BC2" s="21">
        <f t="shared" si="1"/>
        <v>1</v>
      </c>
      <c r="BD2" s="21">
        <f t="shared" si="1"/>
        <v>1</v>
      </c>
      <c r="BE2" s="21">
        <f t="shared" si="1"/>
        <v>1</v>
      </c>
      <c r="BF2" s="21">
        <f t="shared" si="1"/>
        <v>1</v>
      </c>
      <c r="BG2" s="21">
        <f t="shared" si="1"/>
        <v>1</v>
      </c>
      <c r="BH2" s="21">
        <f t="shared" si="1"/>
        <v>1</v>
      </c>
      <c r="BI2" s="21">
        <f t="shared" si="1"/>
        <v>1</v>
      </c>
      <c r="BJ2" s="21">
        <f t="shared" si="1"/>
        <v>1</v>
      </c>
      <c r="BK2" s="21">
        <f t="shared" si="1"/>
        <v>1</v>
      </c>
      <c r="BL2" s="21">
        <f t="shared" si="1"/>
        <v>1</v>
      </c>
      <c r="BM2" s="21">
        <f t="shared" si="1"/>
        <v>1</v>
      </c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4" t="s">
        <v>12</v>
      </c>
      <c r="CG2" s="15">
        <v>1</v>
      </c>
      <c r="CH2" s="15">
        <v>2</v>
      </c>
      <c r="CI2" s="15">
        <v>3</v>
      </c>
      <c r="CJ2" s="15">
        <v>4</v>
      </c>
      <c r="CK2" s="15">
        <v>5</v>
      </c>
      <c r="CL2" s="15">
        <v>6</v>
      </c>
      <c r="CM2" s="15">
        <v>7</v>
      </c>
      <c r="CN2" s="15">
        <v>8</v>
      </c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</row>
    <row r="3" spans="1:135" ht="13.5" hidden="1" customHeight="1" x14ac:dyDescent="0.2">
      <c r="A3" s="19" t="s">
        <v>13</v>
      </c>
      <c r="B3" s="13"/>
      <c r="C3" s="20"/>
      <c r="D3" s="21">
        <f t="shared" ref="D3:AI3" si="2">IF(OR(WEEKDAY(D$8,2) = 6,WEEKDAY(D$8,2) = 7),1,0)*D2</f>
        <v>0</v>
      </c>
      <c r="E3" s="21">
        <f t="shared" si="2"/>
        <v>0</v>
      </c>
      <c r="F3" s="21">
        <f t="shared" si="2"/>
        <v>0</v>
      </c>
      <c r="G3" s="21">
        <f t="shared" si="2"/>
        <v>0</v>
      </c>
      <c r="H3" s="21">
        <f t="shared" si="2"/>
        <v>1</v>
      </c>
      <c r="I3" s="21">
        <f t="shared" si="2"/>
        <v>1</v>
      </c>
      <c r="J3" s="21">
        <f t="shared" si="2"/>
        <v>1</v>
      </c>
      <c r="K3" s="21">
        <f t="shared" si="2"/>
        <v>1</v>
      </c>
      <c r="L3" s="21">
        <f t="shared" si="2"/>
        <v>0</v>
      </c>
      <c r="M3" s="21">
        <f t="shared" si="2"/>
        <v>0</v>
      </c>
      <c r="N3" s="21">
        <f t="shared" si="2"/>
        <v>0</v>
      </c>
      <c r="O3" s="21">
        <f t="shared" si="2"/>
        <v>0</v>
      </c>
      <c r="P3" s="21">
        <f t="shared" si="2"/>
        <v>0</v>
      </c>
      <c r="Q3" s="21">
        <f t="shared" si="2"/>
        <v>0</v>
      </c>
      <c r="R3" s="21">
        <f t="shared" si="2"/>
        <v>0</v>
      </c>
      <c r="S3" s="21">
        <f t="shared" si="2"/>
        <v>0</v>
      </c>
      <c r="T3" s="21">
        <f t="shared" si="2"/>
        <v>0</v>
      </c>
      <c r="U3" s="21">
        <f t="shared" si="2"/>
        <v>0</v>
      </c>
      <c r="V3" s="21">
        <f t="shared" si="2"/>
        <v>1</v>
      </c>
      <c r="W3" s="21">
        <f t="shared" si="2"/>
        <v>1</v>
      </c>
      <c r="X3" s="21">
        <f t="shared" si="2"/>
        <v>1</v>
      </c>
      <c r="Y3" s="21">
        <f t="shared" si="2"/>
        <v>1</v>
      </c>
      <c r="Z3" s="21">
        <f t="shared" si="2"/>
        <v>0</v>
      </c>
      <c r="AA3" s="21">
        <f t="shared" si="2"/>
        <v>0</v>
      </c>
      <c r="AB3" s="21">
        <f t="shared" si="2"/>
        <v>0</v>
      </c>
      <c r="AC3" s="21">
        <f t="shared" si="2"/>
        <v>0</v>
      </c>
      <c r="AD3" s="21">
        <f t="shared" si="2"/>
        <v>0</v>
      </c>
      <c r="AE3" s="21">
        <f t="shared" si="2"/>
        <v>0</v>
      </c>
      <c r="AF3" s="21">
        <f t="shared" si="2"/>
        <v>0</v>
      </c>
      <c r="AG3" s="21">
        <f t="shared" si="2"/>
        <v>0</v>
      </c>
      <c r="AH3" s="21">
        <f t="shared" si="2"/>
        <v>0</v>
      </c>
      <c r="AI3" s="21">
        <f t="shared" si="2"/>
        <v>0</v>
      </c>
      <c r="AJ3" s="21">
        <f t="shared" ref="AJ3:BO3" si="3">IF(OR(WEEKDAY(AJ$8,2) = 6,WEEKDAY(AJ$8,2) = 7),1,0)*AJ2</f>
        <v>1</v>
      </c>
      <c r="AK3" s="21">
        <f t="shared" si="3"/>
        <v>1</v>
      </c>
      <c r="AL3" s="21">
        <f t="shared" si="3"/>
        <v>1</v>
      </c>
      <c r="AM3" s="21">
        <f t="shared" si="3"/>
        <v>1</v>
      </c>
      <c r="AN3" s="21">
        <f t="shared" si="3"/>
        <v>0</v>
      </c>
      <c r="AO3" s="21">
        <f t="shared" si="3"/>
        <v>0</v>
      </c>
      <c r="AP3" s="21">
        <f t="shared" si="3"/>
        <v>0</v>
      </c>
      <c r="AQ3" s="21">
        <f t="shared" si="3"/>
        <v>0</v>
      </c>
      <c r="AR3" s="21">
        <f t="shared" si="3"/>
        <v>0</v>
      </c>
      <c r="AS3" s="21">
        <f t="shared" si="3"/>
        <v>0</v>
      </c>
      <c r="AT3" s="21">
        <f t="shared" si="3"/>
        <v>0</v>
      </c>
      <c r="AU3" s="21">
        <f t="shared" si="3"/>
        <v>0</v>
      </c>
      <c r="AV3" s="21">
        <f t="shared" si="3"/>
        <v>0</v>
      </c>
      <c r="AW3" s="21">
        <f t="shared" si="3"/>
        <v>0</v>
      </c>
      <c r="AX3" s="21">
        <f t="shared" si="3"/>
        <v>1</v>
      </c>
      <c r="AY3" s="21">
        <f t="shared" si="3"/>
        <v>1</v>
      </c>
      <c r="AZ3" s="21">
        <f t="shared" si="3"/>
        <v>1</v>
      </c>
      <c r="BA3" s="21">
        <f t="shared" si="3"/>
        <v>1</v>
      </c>
      <c r="BB3" s="21">
        <f t="shared" si="3"/>
        <v>0</v>
      </c>
      <c r="BC3" s="21">
        <f t="shared" si="3"/>
        <v>0</v>
      </c>
      <c r="BD3" s="21">
        <f t="shared" si="3"/>
        <v>0</v>
      </c>
      <c r="BE3" s="21">
        <f t="shared" si="3"/>
        <v>0</v>
      </c>
      <c r="BF3" s="21">
        <f t="shared" si="3"/>
        <v>0</v>
      </c>
      <c r="BG3" s="21">
        <f t="shared" si="3"/>
        <v>0</v>
      </c>
      <c r="BH3" s="21">
        <f t="shared" si="3"/>
        <v>0</v>
      </c>
      <c r="BI3" s="21">
        <f t="shared" si="3"/>
        <v>0</v>
      </c>
      <c r="BJ3" s="21">
        <f t="shared" si="3"/>
        <v>0</v>
      </c>
      <c r="BK3" s="21">
        <f t="shared" si="3"/>
        <v>0</v>
      </c>
      <c r="BL3" s="21">
        <f t="shared" si="3"/>
        <v>1</v>
      </c>
      <c r="BM3" s="21">
        <f t="shared" si="3"/>
        <v>1</v>
      </c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22" t="s">
        <v>14</v>
      </c>
      <c r="CG3" s="23">
        <v>40179</v>
      </c>
      <c r="CH3" s="23">
        <v>40210</v>
      </c>
      <c r="CI3" s="23">
        <v>40238</v>
      </c>
      <c r="CJ3" s="23">
        <v>40269</v>
      </c>
      <c r="CK3" s="23">
        <v>40299</v>
      </c>
      <c r="CL3" s="23">
        <v>40330</v>
      </c>
      <c r="CM3" s="23">
        <v>40360</v>
      </c>
      <c r="CN3" s="23">
        <v>40391</v>
      </c>
      <c r="CO3" s="23">
        <v>40422</v>
      </c>
      <c r="CP3" s="23">
        <v>40452</v>
      </c>
      <c r="CQ3" s="23">
        <v>40483</v>
      </c>
      <c r="CR3" s="24">
        <v>40513</v>
      </c>
      <c r="CS3" s="25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</row>
    <row r="4" spans="1:135" ht="15.75" hidden="1" customHeight="1" x14ac:dyDescent="0.2">
      <c r="A4" s="19" t="s">
        <v>15</v>
      </c>
      <c r="B4" s="13"/>
      <c r="C4" s="20"/>
      <c r="D4" s="21">
        <v>0</v>
      </c>
      <c r="E4" s="21">
        <f>Pontaj.Zi1</f>
        <v>0</v>
      </c>
      <c r="F4" s="21">
        <v>0</v>
      </c>
      <c r="G4" s="21">
        <f>Pontaj.Zi2</f>
        <v>0</v>
      </c>
      <c r="H4" s="21">
        <v>0</v>
      </c>
      <c r="I4" s="21">
        <f>Pontaj.Zi3</f>
        <v>0</v>
      </c>
      <c r="J4" s="21">
        <v>0</v>
      </c>
      <c r="K4" s="21">
        <f>Pontaj.Zi4</f>
        <v>0</v>
      </c>
      <c r="L4" s="21">
        <v>0</v>
      </c>
      <c r="M4" s="21">
        <f>Pontaj.Zi5</f>
        <v>0</v>
      </c>
      <c r="N4" s="21">
        <v>0</v>
      </c>
      <c r="O4" s="21">
        <f>Pontaj.Zi6</f>
        <v>0</v>
      </c>
      <c r="P4" s="21">
        <v>0</v>
      </c>
      <c r="Q4" s="21">
        <f>Pontaj.Zi7</f>
        <v>0</v>
      </c>
      <c r="R4" s="21">
        <v>0</v>
      </c>
      <c r="S4" s="21">
        <f>Pontaj.Zi8</f>
        <v>0</v>
      </c>
      <c r="T4" s="21">
        <v>0</v>
      </c>
      <c r="U4" s="21">
        <f>Pontaj.Zi9</f>
        <v>0</v>
      </c>
      <c r="V4" s="21">
        <v>0</v>
      </c>
      <c r="W4" s="21">
        <f>Pontaj.Zi10</f>
        <v>0</v>
      </c>
      <c r="X4" s="21">
        <v>0</v>
      </c>
      <c r="Y4" s="21">
        <f>Pontaj.Zi11</f>
        <v>0</v>
      </c>
      <c r="Z4" s="21">
        <v>0</v>
      </c>
      <c r="AA4" s="21">
        <f>Pontaj.Zi12</f>
        <v>0</v>
      </c>
      <c r="AB4" s="21">
        <v>0</v>
      </c>
      <c r="AC4" s="21">
        <f>Pontaj.Zi13</f>
        <v>0</v>
      </c>
      <c r="AD4" s="21">
        <v>0</v>
      </c>
      <c r="AE4" s="21">
        <f>Pontaj.Zi14</f>
        <v>0</v>
      </c>
      <c r="AF4" s="21">
        <v>0</v>
      </c>
      <c r="AG4" s="21">
        <f>Pontaj.Zi15</f>
        <v>0</v>
      </c>
      <c r="AH4" s="21">
        <v>0</v>
      </c>
      <c r="AI4" s="21">
        <f>Pontaj.Zi16</f>
        <v>0</v>
      </c>
      <c r="AJ4" s="21">
        <v>0</v>
      </c>
      <c r="AK4" s="21">
        <f>Pontaj.Zi17</f>
        <v>0</v>
      </c>
      <c r="AL4" s="21">
        <v>0</v>
      </c>
      <c r="AM4" s="21">
        <f>Pontaj.Zi18</f>
        <v>0</v>
      </c>
      <c r="AN4" s="21">
        <v>0</v>
      </c>
      <c r="AO4" s="21">
        <f>Pontaj.Zi19</f>
        <v>0</v>
      </c>
      <c r="AP4" s="21">
        <v>0</v>
      </c>
      <c r="AQ4" s="21">
        <f>Pontaj.Zi20</f>
        <v>0</v>
      </c>
      <c r="AR4" s="21">
        <v>0</v>
      </c>
      <c r="AS4" s="21">
        <f>Pontaj.Zi21</f>
        <v>0</v>
      </c>
      <c r="AT4" s="21">
        <v>0</v>
      </c>
      <c r="AU4" s="21">
        <f>Pontaj.Zi22</f>
        <v>0</v>
      </c>
      <c r="AV4" s="21">
        <v>0</v>
      </c>
      <c r="AW4" s="21">
        <f>Pontaj.Zi23</f>
        <v>0</v>
      </c>
      <c r="AX4" s="21">
        <v>0</v>
      </c>
      <c r="AY4" s="21">
        <f>Pontaj.Zi24</f>
        <v>0</v>
      </c>
      <c r="AZ4" s="21">
        <v>0</v>
      </c>
      <c r="BA4" s="21">
        <f>Pontaj.Zi25</f>
        <v>0</v>
      </c>
      <c r="BB4" s="21">
        <v>0</v>
      </c>
      <c r="BC4" s="21">
        <f>Pontaj.Zi26</f>
        <v>0</v>
      </c>
      <c r="BD4" s="21">
        <v>0</v>
      </c>
      <c r="BE4" s="21">
        <f>Pontaj.Zi27</f>
        <v>0</v>
      </c>
      <c r="BF4" s="21">
        <v>0</v>
      </c>
      <c r="BG4" s="21">
        <f>Pontaj.Zi28</f>
        <v>0</v>
      </c>
      <c r="BH4" s="21">
        <v>0</v>
      </c>
      <c r="BI4" s="21">
        <f>Pontaj.Zi29</f>
        <v>0</v>
      </c>
      <c r="BJ4" s="21">
        <v>0</v>
      </c>
      <c r="BK4" s="21">
        <f>Pontaj.Zi30</f>
        <v>0</v>
      </c>
      <c r="BL4" s="21">
        <v>0</v>
      </c>
      <c r="BM4" s="21">
        <f>Pontaj.Zi31</f>
        <v>0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26"/>
      <c r="CG4" s="26"/>
    </row>
    <row r="5" spans="1:135" ht="15.75" hidden="1" customHeight="1" x14ac:dyDescent="0.2">
      <c r="A5" s="19" t="s">
        <v>16</v>
      </c>
      <c r="B5" s="13"/>
      <c r="C5" s="20"/>
      <c r="D5" s="27">
        <f t="shared" ref="D5:AI5" si="4">IF(D3+D4=0,1,0)*D2</f>
        <v>1</v>
      </c>
      <c r="E5" s="27">
        <f t="shared" si="4"/>
        <v>1</v>
      </c>
      <c r="F5" s="27">
        <f t="shared" si="4"/>
        <v>1</v>
      </c>
      <c r="G5" s="27">
        <f t="shared" si="4"/>
        <v>1</v>
      </c>
      <c r="H5" s="27">
        <f t="shared" si="4"/>
        <v>0</v>
      </c>
      <c r="I5" s="27">
        <f t="shared" si="4"/>
        <v>0</v>
      </c>
      <c r="J5" s="27">
        <f t="shared" si="4"/>
        <v>0</v>
      </c>
      <c r="K5" s="27">
        <f t="shared" si="4"/>
        <v>0</v>
      </c>
      <c r="L5" s="27">
        <f t="shared" si="4"/>
        <v>1</v>
      </c>
      <c r="M5" s="27">
        <f t="shared" si="4"/>
        <v>1</v>
      </c>
      <c r="N5" s="27">
        <f t="shared" si="4"/>
        <v>1</v>
      </c>
      <c r="O5" s="27">
        <f t="shared" si="4"/>
        <v>1</v>
      </c>
      <c r="P5" s="27">
        <f t="shared" si="4"/>
        <v>1</v>
      </c>
      <c r="Q5" s="27">
        <f t="shared" si="4"/>
        <v>1</v>
      </c>
      <c r="R5" s="27">
        <f t="shared" si="4"/>
        <v>1</v>
      </c>
      <c r="S5" s="27">
        <f t="shared" si="4"/>
        <v>1</v>
      </c>
      <c r="T5" s="27">
        <f t="shared" si="4"/>
        <v>1</v>
      </c>
      <c r="U5" s="27">
        <f t="shared" si="4"/>
        <v>1</v>
      </c>
      <c r="V5" s="27">
        <f t="shared" si="4"/>
        <v>0</v>
      </c>
      <c r="W5" s="27">
        <f t="shared" si="4"/>
        <v>0</v>
      </c>
      <c r="X5" s="27">
        <f t="shared" si="4"/>
        <v>0</v>
      </c>
      <c r="Y5" s="27">
        <f t="shared" si="4"/>
        <v>0</v>
      </c>
      <c r="Z5" s="27">
        <f t="shared" si="4"/>
        <v>1</v>
      </c>
      <c r="AA5" s="27">
        <f t="shared" si="4"/>
        <v>1</v>
      </c>
      <c r="AB5" s="27">
        <f t="shared" si="4"/>
        <v>1</v>
      </c>
      <c r="AC5" s="27">
        <f t="shared" si="4"/>
        <v>1</v>
      </c>
      <c r="AD5" s="27">
        <f t="shared" si="4"/>
        <v>1</v>
      </c>
      <c r="AE5" s="27">
        <f t="shared" si="4"/>
        <v>1</v>
      </c>
      <c r="AF5" s="27">
        <f t="shared" si="4"/>
        <v>1</v>
      </c>
      <c r="AG5" s="27">
        <f t="shared" si="4"/>
        <v>1</v>
      </c>
      <c r="AH5" s="27">
        <f t="shared" si="4"/>
        <v>1</v>
      </c>
      <c r="AI5" s="27">
        <f t="shared" si="4"/>
        <v>1</v>
      </c>
      <c r="AJ5" s="27">
        <f t="shared" ref="AJ5:BO5" si="5">IF(AJ3+AJ4=0,1,0)*AJ2</f>
        <v>0</v>
      </c>
      <c r="AK5" s="27">
        <f t="shared" si="5"/>
        <v>0</v>
      </c>
      <c r="AL5" s="27">
        <f t="shared" si="5"/>
        <v>0</v>
      </c>
      <c r="AM5" s="27">
        <f t="shared" si="5"/>
        <v>0</v>
      </c>
      <c r="AN5" s="27">
        <f t="shared" si="5"/>
        <v>1</v>
      </c>
      <c r="AO5" s="27">
        <f t="shared" si="5"/>
        <v>1</v>
      </c>
      <c r="AP5" s="27">
        <f t="shared" si="5"/>
        <v>1</v>
      </c>
      <c r="AQ5" s="27">
        <f t="shared" si="5"/>
        <v>1</v>
      </c>
      <c r="AR5" s="27">
        <f t="shared" si="5"/>
        <v>1</v>
      </c>
      <c r="AS5" s="27">
        <f t="shared" si="5"/>
        <v>1</v>
      </c>
      <c r="AT5" s="27">
        <f t="shared" si="5"/>
        <v>1</v>
      </c>
      <c r="AU5" s="27">
        <f t="shared" si="5"/>
        <v>1</v>
      </c>
      <c r="AV5" s="27">
        <f t="shared" si="5"/>
        <v>1</v>
      </c>
      <c r="AW5" s="27">
        <f t="shared" si="5"/>
        <v>1</v>
      </c>
      <c r="AX5" s="27">
        <f t="shared" si="5"/>
        <v>0</v>
      </c>
      <c r="AY5" s="27">
        <f t="shared" si="5"/>
        <v>0</v>
      </c>
      <c r="AZ5" s="27">
        <f t="shared" si="5"/>
        <v>0</v>
      </c>
      <c r="BA5" s="27">
        <f t="shared" si="5"/>
        <v>0</v>
      </c>
      <c r="BB5" s="27">
        <f t="shared" si="5"/>
        <v>1</v>
      </c>
      <c r="BC5" s="27">
        <f t="shared" si="5"/>
        <v>1</v>
      </c>
      <c r="BD5" s="27">
        <f t="shared" si="5"/>
        <v>1</v>
      </c>
      <c r="BE5" s="27">
        <f t="shared" si="5"/>
        <v>1</v>
      </c>
      <c r="BF5" s="27">
        <f t="shared" si="5"/>
        <v>1</v>
      </c>
      <c r="BG5" s="27">
        <f t="shared" si="5"/>
        <v>1</v>
      </c>
      <c r="BH5" s="27">
        <f t="shared" si="5"/>
        <v>1</v>
      </c>
      <c r="BI5" s="27">
        <f t="shared" si="5"/>
        <v>1</v>
      </c>
      <c r="BJ5" s="27">
        <f t="shared" si="5"/>
        <v>1</v>
      </c>
      <c r="BK5" s="27">
        <f t="shared" si="5"/>
        <v>1</v>
      </c>
      <c r="BL5" s="27">
        <f t="shared" si="5"/>
        <v>0</v>
      </c>
      <c r="BM5" s="27">
        <f t="shared" si="5"/>
        <v>0</v>
      </c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28"/>
      <c r="CG5" s="28"/>
    </row>
    <row r="6" spans="1:135" ht="13.5" customHeight="1" thickTop="1" x14ac:dyDescent="0.2">
      <c r="A6" s="29">
        <v>43160</v>
      </c>
      <c r="B6" s="31"/>
      <c r="C6" s="33">
        <f>D1</f>
        <v>22</v>
      </c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5"/>
      <c r="BN6" s="38" t="s">
        <v>18</v>
      </c>
      <c r="BO6" s="41"/>
      <c r="BP6" s="41"/>
      <c r="BQ6" s="41"/>
      <c r="BR6" s="41"/>
      <c r="BS6" s="41"/>
      <c r="BT6" s="41"/>
      <c r="BU6" s="41"/>
      <c r="BV6" s="42" t="s">
        <v>19</v>
      </c>
      <c r="BW6" s="43"/>
      <c r="BX6" s="43"/>
      <c r="BY6" s="43"/>
      <c r="BZ6" s="43"/>
      <c r="CA6" s="43"/>
      <c r="CB6" s="43"/>
      <c r="CC6" s="43"/>
      <c r="CD6" s="43"/>
      <c r="CE6" s="43"/>
      <c r="CF6" s="46" t="s">
        <v>20</v>
      </c>
      <c r="CG6" s="49"/>
    </row>
    <row r="7" spans="1:135" s="50" customFormat="1" ht="18.75" customHeight="1" thickBot="1" x14ac:dyDescent="0.25">
      <c r="A7" s="32"/>
      <c r="B7" s="30"/>
      <c r="C7" s="51" t="s">
        <v>21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7"/>
      <c r="BN7" s="39"/>
      <c r="BO7" s="40"/>
      <c r="BP7" s="40"/>
      <c r="BQ7" s="40"/>
      <c r="BR7" s="40"/>
      <c r="BS7" s="40"/>
      <c r="BT7" s="40"/>
      <c r="BU7" s="40"/>
      <c r="BV7" s="44"/>
      <c r="BW7" s="45"/>
      <c r="BX7" s="45"/>
      <c r="BY7" s="45"/>
      <c r="BZ7" s="45"/>
      <c r="CA7" s="45"/>
      <c r="CB7" s="45"/>
      <c r="CC7" s="45"/>
      <c r="CD7" s="45"/>
      <c r="CE7" s="45"/>
      <c r="CF7" s="48"/>
      <c r="CG7" s="49"/>
    </row>
    <row r="8" spans="1:135" ht="18.75" customHeight="1" thickTop="1" x14ac:dyDescent="0.2">
      <c r="A8" s="52"/>
      <c r="B8" s="54"/>
      <c r="C8" s="53"/>
      <c r="D8" s="55">
        <f>DATE(YEAR(Parametri.LunaCurenta),MONTH(Parametri.LunaCurenta),1)</f>
        <v>43160</v>
      </c>
      <c r="E8" s="56">
        <f>DATE(YEAR(Parametri.LunaCurenta),MONTH(Parametri.LunaCurenta),1)</f>
        <v>43160</v>
      </c>
      <c r="F8" s="57">
        <f>DATE(YEAR(Parametri.LunaCurenta),MONTH(Parametri.LunaCurenta),2)</f>
        <v>43161</v>
      </c>
      <c r="G8" s="58">
        <f>DATE(YEAR(Parametri.LunaCurenta),MONTH(Parametri.LunaCurenta),2)</f>
        <v>43161</v>
      </c>
      <c r="H8" s="59">
        <f>DATE(YEAR(Parametri.LunaCurenta),MONTH(Parametri.LunaCurenta),3)</f>
        <v>43162</v>
      </c>
      <c r="I8" s="60">
        <f>DATE(YEAR(Parametri.LunaCurenta),MONTH(Parametri.LunaCurenta),3)</f>
        <v>43162</v>
      </c>
      <c r="J8" s="57">
        <f>DATE(YEAR(Parametri.LunaCurenta),MONTH(Parametri.LunaCurenta),4)</f>
        <v>43163</v>
      </c>
      <c r="K8" s="58">
        <f>DATE(YEAR(Parametri.LunaCurenta),MONTH(Parametri.LunaCurenta),4)</f>
        <v>43163</v>
      </c>
      <c r="L8" s="59">
        <f>DATE(YEAR(Parametri.LunaCurenta),MONTH(Parametri.LunaCurenta),5)</f>
        <v>43164</v>
      </c>
      <c r="M8" s="60">
        <f>DATE(YEAR(Parametri.LunaCurenta),MONTH(Parametri.LunaCurenta),5)</f>
        <v>43164</v>
      </c>
      <c r="N8" s="57">
        <f>DATE(YEAR(Parametri.LunaCurenta),MONTH(Parametri.LunaCurenta),6)</f>
        <v>43165</v>
      </c>
      <c r="O8" s="58">
        <f>DATE(YEAR(Parametri.LunaCurenta),MONTH(Parametri.LunaCurenta),6)</f>
        <v>43165</v>
      </c>
      <c r="P8" s="59">
        <f>DATE(YEAR(Parametri.LunaCurenta),MONTH(Parametri.LunaCurenta),7)</f>
        <v>43166</v>
      </c>
      <c r="Q8" s="60">
        <f>DATE(YEAR(Parametri.LunaCurenta),MONTH(Parametri.LunaCurenta),7)</f>
        <v>43166</v>
      </c>
      <c r="R8" s="57">
        <f>DATE(YEAR(Parametri.LunaCurenta),MONTH(Parametri.LunaCurenta),8)</f>
        <v>43167</v>
      </c>
      <c r="S8" s="58">
        <f>DATE(YEAR(Parametri.LunaCurenta),MONTH(Parametri.LunaCurenta),8)</f>
        <v>43167</v>
      </c>
      <c r="T8" s="59">
        <f>DATE(YEAR(Parametri.LunaCurenta),MONTH(Parametri.LunaCurenta),9)</f>
        <v>43168</v>
      </c>
      <c r="U8" s="60">
        <f>DATE(YEAR(Parametri.LunaCurenta),MONTH(Parametri.LunaCurenta),9)</f>
        <v>43168</v>
      </c>
      <c r="V8" s="57">
        <f>DATE(YEAR(Parametri.LunaCurenta),MONTH(Parametri.LunaCurenta),10)</f>
        <v>43169</v>
      </c>
      <c r="W8" s="58">
        <f>DATE(YEAR(Parametri.LunaCurenta),MONTH(Parametri.LunaCurenta),10)</f>
        <v>43169</v>
      </c>
      <c r="X8" s="57">
        <f>DATE(YEAR(Parametri.LunaCurenta),MONTH(Parametri.LunaCurenta),11)</f>
        <v>43170</v>
      </c>
      <c r="Y8" s="58">
        <f>DATE(YEAR(Parametri.LunaCurenta),MONTH(Parametri.LunaCurenta),11)</f>
        <v>43170</v>
      </c>
      <c r="Z8" s="59">
        <f>DATE(YEAR(Parametri.LunaCurenta),MONTH(Parametri.LunaCurenta),12)</f>
        <v>43171</v>
      </c>
      <c r="AA8" s="59">
        <f>DATE(YEAR(Parametri.LunaCurenta),MONTH(Parametri.LunaCurenta),12)</f>
        <v>43171</v>
      </c>
      <c r="AB8" s="57">
        <f>DATE(YEAR(Parametri.LunaCurenta),MONTH(Parametri.LunaCurenta),13)</f>
        <v>43172</v>
      </c>
      <c r="AC8" s="61">
        <f>DATE(YEAR(Parametri.LunaCurenta),MONTH(Parametri.LunaCurenta),13)</f>
        <v>43172</v>
      </c>
      <c r="AD8" s="59">
        <f>DATE(YEAR(Parametri.LunaCurenta),MONTH(Parametri.LunaCurenta),14)</f>
        <v>43173</v>
      </c>
      <c r="AE8" s="59">
        <f>DATE(YEAR(Parametri.LunaCurenta),MONTH(Parametri.LunaCurenta),14)</f>
        <v>43173</v>
      </c>
      <c r="AF8" s="57">
        <f>DATE(YEAR(Parametri.LunaCurenta),MONTH(Parametri.LunaCurenta),15)</f>
        <v>43174</v>
      </c>
      <c r="AG8" s="61">
        <f>DATE(YEAR(Parametri.LunaCurenta),MONTH(Parametri.LunaCurenta),15)</f>
        <v>43174</v>
      </c>
      <c r="AH8" s="59">
        <f>DATE(YEAR(Parametri.LunaCurenta),MONTH(Parametri.LunaCurenta),16)</f>
        <v>43175</v>
      </c>
      <c r="AI8" s="59">
        <f>DATE(YEAR(Parametri.LunaCurenta),MONTH(Parametri.LunaCurenta),16)</f>
        <v>43175</v>
      </c>
      <c r="AJ8" s="57">
        <f>DATE(YEAR(Parametri.LunaCurenta),MONTH(Parametri.LunaCurenta),17)</f>
        <v>43176</v>
      </c>
      <c r="AK8" s="61">
        <f>DATE(YEAR(Parametri.LunaCurenta),MONTH(Parametri.LunaCurenta),17)</f>
        <v>43176</v>
      </c>
      <c r="AL8" s="59">
        <f>DATE(YEAR(Parametri.LunaCurenta),MONTH(Parametri.LunaCurenta),18)</f>
        <v>43177</v>
      </c>
      <c r="AM8" s="59">
        <f>DATE(YEAR(Parametri.LunaCurenta),MONTH(Parametri.LunaCurenta),18)</f>
        <v>43177</v>
      </c>
      <c r="AN8" s="57">
        <f>DATE(YEAR(Parametri.LunaCurenta),MONTH(Parametri.LunaCurenta),19)</f>
        <v>43178</v>
      </c>
      <c r="AO8" s="61">
        <f>DATE(YEAR(Parametri.LunaCurenta),MONTH(Parametri.LunaCurenta),19)</f>
        <v>43178</v>
      </c>
      <c r="AP8" s="59">
        <f>DATE(YEAR(Parametri.LunaCurenta),MONTH(Parametri.LunaCurenta),20)</f>
        <v>43179</v>
      </c>
      <c r="AQ8" s="59">
        <f>DATE(YEAR(Parametri.LunaCurenta),MONTH(Parametri.LunaCurenta),20)</f>
        <v>43179</v>
      </c>
      <c r="AR8" s="57">
        <f>DATE(YEAR(Parametri.LunaCurenta),MONTH(Parametri.LunaCurenta),21)</f>
        <v>43180</v>
      </c>
      <c r="AS8" s="61">
        <f>DATE(YEAR(Parametri.LunaCurenta),MONTH(Parametri.LunaCurenta),21)</f>
        <v>43180</v>
      </c>
      <c r="AT8" s="59">
        <f>DATE(YEAR(Parametri.LunaCurenta),MONTH(Parametri.LunaCurenta),22)</f>
        <v>43181</v>
      </c>
      <c r="AU8" s="59">
        <f>DATE(YEAR(Parametri.LunaCurenta),MONTH(Parametri.LunaCurenta),22)</f>
        <v>43181</v>
      </c>
      <c r="AV8" s="57">
        <f>DATE(YEAR(Parametri.LunaCurenta),MONTH(Parametri.LunaCurenta),23)</f>
        <v>43182</v>
      </c>
      <c r="AW8" s="61">
        <f>DATE(YEAR(Parametri.LunaCurenta),MONTH(Parametri.LunaCurenta),23)</f>
        <v>43182</v>
      </c>
      <c r="AX8" s="59">
        <f>DATE(YEAR(Parametri.LunaCurenta),MONTH(Parametri.LunaCurenta),24)</f>
        <v>43183</v>
      </c>
      <c r="AY8" s="59">
        <f>DATE(YEAR(Parametri.LunaCurenta),MONTH(Parametri.LunaCurenta),24)</f>
        <v>43183</v>
      </c>
      <c r="AZ8" s="57">
        <f>DATE(YEAR(Parametri.LunaCurenta),MONTH(Parametri.LunaCurenta),25)</f>
        <v>43184</v>
      </c>
      <c r="BA8" s="61">
        <f>DATE(YEAR(Parametri.LunaCurenta),MONTH(Parametri.LunaCurenta),25)</f>
        <v>43184</v>
      </c>
      <c r="BB8" s="59">
        <f>DATE(YEAR(Parametri.LunaCurenta),MONTH(Parametri.LunaCurenta),26)</f>
        <v>43185</v>
      </c>
      <c r="BC8" s="59">
        <f>DATE(YEAR(Parametri.LunaCurenta),MONTH(Parametri.LunaCurenta),26)</f>
        <v>43185</v>
      </c>
      <c r="BD8" s="57">
        <f>DATE(YEAR(Parametri.LunaCurenta),MONTH(Parametri.LunaCurenta),27)</f>
        <v>43186</v>
      </c>
      <c r="BE8" s="61">
        <f>DATE(YEAR(Parametri.LunaCurenta),MONTH(Parametri.LunaCurenta),27)</f>
        <v>43186</v>
      </c>
      <c r="BF8" s="57">
        <f>DATE(YEAR(Parametri.LunaCurenta),MONTH(Parametri.LunaCurenta),28)</f>
        <v>43187</v>
      </c>
      <c r="BG8" s="61">
        <f>DATE(YEAR(Parametri.LunaCurenta),MONTH(Parametri.LunaCurenta),28)</f>
        <v>43187</v>
      </c>
      <c r="BH8" s="59">
        <f>DATE(YEAR(Parametri.LunaCurenta),MONTH(Parametri.LunaCurenta),29)</f>
        <v>43188</v>
      </c>
      <c r="BI8" s="59">
        <f>DATE(YEAR(Parametri.LunaCurenta),MONTH(Parametri.LunaCurenta),29)</f>
        <v>43188</v>
      </c>
      <c r="BJ8" s="57">
        <f>DATE(YEAR(Parametri.LunaCurenta),MONTH(Parametri.LunaCurenta),30)</f>
        <v>43189</v>
      </c>
      <c r="BK8" s="61">
        <f>DATE(YEAR(Parametri.LunaCurenta),MONTH(Parametri.LunaCurenta),30)</f>
        <v>43189</v>
      </c>
      <c r="BL8" s="59">
        <f>DATE(YEAR(Parametri.LunaCurenta),MONTH(Parametri.LunaCurenta),31)</f>
        <v>43190</v>
      </c>
      <c r="BM8" s="62">
        <f>DATE(YEAR(Parametri.LunaCurenta),MONTH(Parametri.LunaCurenta),31)</f>
        <v>43190</v>
      </c>
      <c r="BN8" s="63" t="s">
        <v>22</v>
      </c>
      <c r="BO8" s="66" t="s">
        <v>23</v>
      </c>
      <c r="BP8" s="66" t="s">
        <v>24</v>
      </c>
      <c r="BQ8" s="66" t="s">
        <v>25</v>
      </c>
      <c r="BR8" s="66" t="s">
        <v>26</v>
      </c>
      <c r="BS8" s="66" t="s">
        <v>27</v>
      </c>
      <c r="BT8" s="66" t="s">
        <v>28</v>
      </c>
      <c r="BU8" s="69" t="s">
        <v>29</v>
      </c>
      <c r="BV8" s="72" t="s">
        <v>30</v>
      </c>
      <c r="BW8" s="73" t="s">
        <v>31</v>
      </c>
      <c r="BX8" s="73" t="s">
        <v>32</v>
      </c>
      <c r="BY8" s="73" t="s">
        <v>33</v>
      </c>
      <c r="BZ8" s="73" t="s">
        <v>34</v>
      </c>
      <c r="CA8" s="73" t="s">
        <v>35</v>
      </c>
      <c r="CB8" s="73" t="s">
        <v>36</v>
      </c>
      <c r="CC8" s="73" t="s">
        <v>37</v>
      </c>
      <c r="CD8" s="75" t="s">
        <v>38</v>
      </c>
      <c r="CE8" s="74" t="s">
        <v>39</v>
      </c>
      <c r="CF8" s="48"/>
      <c r="CG8" s="49"/>
    </row>
    <row r="9" spans="1:135" ht="20.25" customHeight="1" thickBot="1" x14ac:dyDescent="0.25">
      <c r="A9" s="76" t="s">
        <v>40</v>
      </c>
      <c r="B9" s="78"/>
      <c r="C9" s="77"/>
      <c r="D9" s="79">
        <f>D8</f>
        <v>43160</v>
      </c>
      <c r="E9" s="80"/>
      <c r="F9" s="81">
        <f>F8</f>
        <v>43161</v>
      </c>
      <c r="G9" s="82"/>
      <c r="H9" s="80">
        <f>H8</f>
        <v>43162</v>
      </c>
      <c r="I9" s="80"/>
      <c r="J9" s="81">
        <f>J8</f>
        <v>43163</v>
      </c>
      <c r="K9" s="82"/>
      <c r="L9" s="80">
        <f>L8</f>
        <v>43164</v>
      </c>
      <c r="M9" s="80"/>
      <c r="N9" s="81">
        <f>N8</f>
        <v>43165</v>
      </c>
      <c r="O9" s="82"/>
      <c r="P9" s="80">
        <f>P8</f>
        <v>43166</v>
      </c>
      <c r="Q9" s="80"/>
      <c r="R9" s="81">
        <f>R8</f>
        <v>43167</v>
      </c>
      <c r="S9" s="82"/>
      <c r="T9" s="80">
        <f>T8</f>
        <v>43168</v>
      </c>
      <c r="U9" s="80"/>
      <c r="V9" s="81">
        <f>V8</f>
        <v>43169</v>
      </c>
      <c r="W9" s="82"/>
      <c r="X9" s="81">
        <f>X8</f>
        <v>43170</v>
      </c>
      <c r="Y9" s="82"/>
      <c r="Z9" s="80">
        <f>Z8</f>
        <v>43171</v>
      </c>
      <c r="AA9" s="80"/>
      <c r="AB9" s="81">
        <f>AB8</f>
        <v>43172</v>
      </c>
      <c r="AC9" s="82"/>
      <c r="AD9" s="80">
        <f>AD8</f>
        <v>43173</v>
      </c>
      <c r="AE9" s="80"/>
      <c r="AF9" s="81">
        <f>AF8</f>
        <v>43174</v>
      </c>
      <c r="AG9" s="82"/>
      <c r="AH9" s="80">
        <f>AH8</f>
        <v>43175</v>
      </c>
      <c r="AI9" s="80"/>
      <c r="AJ9" s="81">
        <f>AJ8</f>
        <v>43176</v>
      </c>
      <c r="AK9" s="82"/>
      <c r="AL9" s="80">
        <f>AL8</f>
        <v>43177</v>
      </c>
      <c r="AM9" s="80"/>
      <c r="AN9" s="81">
        <f>AN8</f>
        <v>43178</v>
      </c>
      <c r="AO9" s="82"/>
      <c r="AP9" s="80">
        <f>AP8</f>
        <v>43179</v>
      </c>
      <c r="AQ9" s="80"/>
      <c r="AR9" s="81">
        <f>AR8</f>
        <v>43180</v>
      </c>
      <c r="AS9" s="82"/>
      <c r="AT9" s="80">
        <f>AT8</f>
        <v>43181</v>
      </c>
      <c r="AU9" s="80"/>
      <c r="AV9" s="81">
        <f>AV8</f>
        <v>43182</v>
      </c>
      <c r="AW9" s="82"/>
      <c r="AX9" s="80">
        <f>AX8</f>
        <v>43183</v>
      </c>
      <c r="AY9" s="80"/>
      <c r="AZ9" s="81">
        <f>AZ8</f>
        <v>43184</v>
      </c>
      <c r="BA9" s="82"/>
      <c r="BB9" s="80">
        <f>BB8</f>
        <v>43185</v>
      </c>
      <c r="BC9" s="80"/>
      <c r="BD9" s="81">
        <f>BD8</f>
        <v>43186</v>
      </c>
      <c r="BE9" s="82"/>
      <c r="BF9" s="83">
        <f>BF8</f>
        <v>43187</v>
      </c>
      <c r="BG9" s="85"/>
      <c r="BH9" s="84">
        <f>BH8</f>
        <v>43188</v>
      </c>
      <c r="BI9" s="84"/>
      <c r="BJ9" s="83">
        <f>BJ8</f>
        <v>43189</v>
      </c>
      <c r="BK9" s="85"/>
      <c r="BL9" s="84">
        <f>BL8</f>
        <v>43190</v>
      </c>
      <c r="BM9" s="86"/>
      <c r="BN9" s="65"/>
      <c r="BO9" s="68"/>
      <c r="BP9" s="68"/>
      <c r="BQ9" s="68"/>
      <c r="BR9" s="68"/>
      <c r="BS9" s="68"/>
      <c r="BT9" s="68"/>
      <c r="BU9" s="71"/>
      <c r="BV9" s="72"/>
      <c r="BW9" s="73"/>
      <c r="BX9" s="73"/>
      <c r="BY9" s="73"/>
      <c r="BZ9" s="73"/>
      <c r="CA9" s="73"/>
      <c r="CB9" s="73"/>
      <c r="CC9" s="73"/>
      <c r="CD9" s="75"/>
      <c r="CE9" s="75"/>
      <c r="CF9" s="48"/>
      <c r="CG9" s="49"/>
    </row>
    <row r="10" spans="1:135" ht="26.25" customHeight="1" thickTop="1" thickBot="1" x14ac:dyDescent="0.25">
      <c r="A10" s="87" t="s">
        <v>41</v>
      </c>
      <c r="B10" s="88" t="s">
        <v>42</v>
      </c>
      <c r="C10" s="89" t="s">
        <v>43</v>
      </c>
      <c r="D10" s="90" t="s">
        <v>1</v>
      </c>
      <c r="E10" s="91"/>
      <c r="F10" s="92" t="s">
        <v>1</v>
      </c>
      <c r="G10" s="93"/>
      <c r="H10" s="94" t="s">
        <v>1</v>
      </c>
      <c r="I10" s="91"/>
      <c r="J10" s="92" t="s">
        <v>1</v>
      </c>
      <c r="K10" s="93"/>
      <c r="L10" s="94" t="s">
        <v>1</v>
      </c>
      <c r="M10" s="91"/>
      <c r="N10" s="92" t="s">
        <v>1</v>
      </c>
      <c r="O10" s="93"/>
      <c r="P10" s="94" t="s">
        <v>1</v>
      </c>
      <c r="Q10" s="91"/>
      <c r="R10" s="92" t="s">
        <v>1</v>
      </c>
      <c r="S10" s="93"/>
      <c r="T10" s="94" t="s">
        <v>1</v>
      </c>
      <c r="U10" s="91"/>
      <c r="V10" s="92" t="s">
        <v>1</v>
      </c>
      <c r="W10" s="93"/>
      <c r="X10" s="92" t="s">
        <v>1</v>
      </c>
      <c r="Y10" s="93"/>
      <c r="Z10" s="94" t="s">
        <v>1</v>
      </c>
      <c r="AA10" s="91"/>
      <c r="AB10" s="92" t="s">
        <v>1</v>
      </c>
      <c r="AC10" s="93"/>
      <c r="AD10" s="94" t="s">
        <v>1</v>
      </c>
      <c r="AE10" s="91"/>
      <c r="AF10" s="92" t="s">
        <v>1</v>
      </c>
      <c r="AG10" s="93"/>
      <c r="AH10" s="94" t="s">
        <v>1</v>
      </c>
      <c r="AI10" s="91"/>
      <c r="AJ10" s="92" t="s">
        <v>1</v>
      </c>
      <c r="AK10" s="93"/>
      <c r="AL10" s="94" t="s">
        <v>1</v>
      </c>
      <c r="AM10" s="91"/>
      <c r="AN10" s="92" t="s">
        <v>1</v>
      </c>
      <c r="AO10" s="93"/>
      <c r="AP10" s="94" t="s">
        <v>1</v>
      </c>
      <c r="AQ10" s="91"/>
      <c r="AR10" s="92" t="s">
        <v>1</v>
      </c>
      <c r="AS10" s="93"/>
      <c r="AT10" s="94" t="s">
        <v>1</v>
      </c>
      <c r="AU10" s="91"/>
      <c r="AV10" s="92" t="s">
        <v>1</v>
      </c>
      <c r="AW10" s="93"/>
      <c r="AX10" s="94" t="s">
        <v>1</v>
      </c>
      <c r="AY10" s="91"/>
      <c r="AZ10" s="92" t="s">
        <v>1</v>
      </c>
      <c r="BA10" s="93"/>
      <c r="BB10" s="94" t="s">
        <v>1</v>
      </c>
      <c r="BC10" s="91"/>
      <c r="BD10" s="92" t="s">
        <v>1</v>
      </c>
      <c r="BE10" s="93"/>
      <c r="BF10" s="92" t="s">
        <v>1</v>
      </c>
      <c r="BG10" s="93"/>
      <c r="BH10" s="95" t="s">
        <v>1</v>
      </c>
      <c r="BI10" s="96"/>
      <c r="BJ10" s="97" t="s">
        <v>1</v>
      </c>
      <c r="BK10" s="98"/>
      <c r="BL10" s="95" t="s">
        <v>1</v>
      </c>
      <c r="BM10" s="99"/>
      <c r="BN10" s="64"/>
      <c r="BO10" s="67"/>
      <c r="BP10" s="67"/>
      <c r="BQ10" s="67"/>
      <c r="BR10" s="67"/>
      <c r="BS10" s="67"/>
      <c r="BT10" s="67"/>
      <c r="BU10" s="70"/>
      <c r="BV10" s="100" t="s">
        <v>5</v>
      </c>
      <c r="BW10" s="101" t="s">
        <v>8</v>
      </c>
      <c r="BX10" s="101" t="s">
        <v>6</v>
      </c>
      <c r="BY10" s="101" t="s">
        <v>7</v>
      </c>
      <c r="BZ10" s="101" t="s">
        <v>4</v>
      </c>
      <c r="CA10" s="101" t="s">
        <v>10</v>
      </c>
      <c r="CB10" s="101" t="s">
        <v>9</v>
      </c>
      <c r="CC10" s="101" t="s">
        <v>3</v>
      </c>
      <c r="CD10" s="102" t="s">
        <v>44</v>
      </c>
      <c r="CE10" s="102" t="s">
        <v>45</v>
      </c>
      <c r="CF10" s="47"/>
      <c r="CG10" s="49"/>
    </row>
    <row r="11" spans="1:135" ht="49.5" customHeight="1" thickBot="1" x14ac:dyDescent="0.25">
      <c r="A11" s="103" t="s">
        <v>46</v>
      </c>
      <c r="B11" s="104" t="s">
        <v>47</v>
      </c>
      <c r="C11" s="105">
        <v>8</v>
      </c>
      <c r="D11" s="106"/>
      <c r="E11" s="107"/>
      <c r="F11" s="108"/>
      <c r="G11" s="109"/>
      <c r="H11" s="106"/>
      <c r="I11" s="107"/>
      <c r="J11" s="108"/>
      <c r="K11" s="109"/>
      <c r="L11" s="106"/>
      <c r="M11" s="107"/>
      <c r="N11" s="108"/>
      <c r="O11" s="109"/>
      <c r="P11" s="106"/>
      <c r="Q11" s="107"/>
      <c r="R11" s="108"/>
      <c r="S11" s="109"/>
      <c r="T11" s="106"/>
      <c r="U11" s="107"/>
      <c r="V11" s="108"/>
      <c r="W11" s="109"/>
      <c r="X11" s="108"/>
      <c r="Y11" s="109"/>
      <c r="Z11" s="106"/>
      <c r="AA11" s="107"/>
      <c r="AB11" s="108"/>
      <c r="AC11" s="109"/>
      <c r="AD11" s="106"/>
      <c r="AE11" s="107"/>
      <c r="AF11" s="108"/>
      <c r="AG11" s="109"/>
      <c r="AH11" s="106"/>
      <c r="AI11" s="107"/>
      <c r="AJ11" s="108"/>
      <c r="AK11" s="109"/>
      <c r="AL11" s="106"/>
      <c r="AM11" s="107"/>
      <c r="AN11" s="108"/>
      <c r="AO11" s="109"/>
      <c r="AP11" s="106"/>
      <c r="AQ11" s="107"/>
      <c r="AR11" s="108"/>
      <c r="AS11" s="109"/>
      <c r="AT11" s="106"/>
      <c r="AU11" s="107"/>
      <c r="AV11" s="108"/>
      <c r="AW11" s="109"/>
      <c r="AX11" s="106"/>
      <c r="AY11" s="107"/>
      <c r="AZ11" s="108"/>
      <c r="BA11" s="109"/>
      <c r="BB11" s="106"/>
      <c r="BC11" s="107"/>
      <c r="BD11" s="108"/>
      <c r="BE11" s="109"/>
      <c r="BF11" s="108"/>
      <c r="BG11" s="109"/>
      <c r="BH11" s="106"/>
      <c r="BI11" s="107"/>
      <c r="BJ11" s="108"/>
      <c r="BK11" s="109"/>
      <c r="BL11" s="106"/>
      <c r="BM11" s="110"/>
      <c r="BN11" s="111">
        <f>ROUND(SUMIF($D$2:$BM$2,1,D11:BM11),0)</f>
        <v>0</v>
      </c>
      <c r="BO11" s="112">
        <f>MIN(BN11-(SUM(BV11:CD11)*C11+BN11-($D$1*C11)),BN11)</f>
        <v>0</v>
      </c>
      <c r="BP11" s="112">
        <f>MAX(BN11-BO11 -BU11,0)</f>
        <v>0</v>
      </c>
      <c r="BQ11" s="112">
        <f>BM11+BK11+BI11+BG11+BE11+BC11+BA11+AY11+AW11+AU11+AS11+AQ11+AO11+AM11+AK11+AI11+AG11+AE11+AC11+AA11+Y11+W11+U11+S11+Q11+O11+M11+K11+I11+G11+E11-IF(BI$2=0,BI11,0)-IF(BK$2=0,BK11,0)-IF(BM$2=0,BM11,0)</f>
        <v>0</v>
      </c>
      <c r="BR11" s="112">
        <f>SUMIF($D$3:$BM$3,1,D11:BM11)</f>
        <v>0</v>
      </c>
      <c r="BS11" s="113"/>
      <c r="BT11" s="113"/>
      <c r="BU11" s="114">
        <f>MAX(SUMIF($D$4:$BM$4,1,D11:BM11),0)</f>
        <v>0</v>
      </c>
      <c r="BV11" s="115">
        <f>SUMIF(D11:BM11,"CO",$D$5:$BM$5)</f>
        <v>0</v>
      </c>
      <c r="BW11" s="116">
        <f>SUMIF(D11:BM11,"EVD",$D$5:$BM$5)</f>
        <v>0</v>
      </c>
      <c r="BX11" s="116">
        <f>SUMIF(D11:BM11,"CFS",$D$5:$BM$5)</f>
        <v>0</v>
      </c>
      <c r="BY11" s="116">
        <f>SUMIF(D11:BM11,"INV",$D$5:$BM$5)</f>
        <v>0</v>
      </c>
      <c r="BZ11" s="116">
        <f>SUMIF(D11:BM11,"D",$D$2:$BM$2)</f>
        <v>0</v>
      </c>
      <c r="CA11" s="116">
        <f>SUMIF(D11:BM11,"CIC",$D$5:$BM$5)</f>
        <v>0</v>
      </c>
      <c r="CB11" s="116">
        <f>SUMIF(D11:BM11,"CM",$D$5:$BM$5)</f>
        <v>0</v>
      </c>
      <c r="CC11" s="116">
        <f>SUMIF(D11:BM11,"N",$D$5:$BM$5)</f>
        <v>0</v>
      </c>
      <c r="CD11" s="117">
        <f>SUMIF(D11:BM11,"X",$D$5:$BM$5)</f>
        <v>0</v>
      </c>
      <c r="CE11" s="118">
        <f>CC11+BY11+BX11</f>
        <v>0</v>
      </c>
      <c r="CF11" s="119"/>
      <c r="CG11" s="49"/>
    </row>
    <row r="12" spans="1:135" ht="49.5" customHeight="1" thickBot="1" x14ac:dyDescent="0.25">
      <c r="A12" s="103" t="s">
        <v>48</v>
      </c>
      <c r="B12" s="104" t="s">
        <v>49</v>
      </c>
      <c r="C12" s="105">
        <v>8</v>
      </c>
      <c r="D12" s="106"/>
      <c r="E12" s="107"/>
      <c r="F12" s="108"/>
      <c r="G12" s="109"/>
      <c r="H12" s="106"/>
      <c r="I12" s="107"/>
      <c r="J12" s="108"/>
      <c r="K12" s="109"/>
      <c r="L12" s="106"/>
      <c r="M12" s="107"/>
      <c r="N12" s="108"/>
      <c r="O12" s="109"/>
      <c r="P12" s="106"/>
      <c r="Q12" s="107"/>
      <c r="R12" s="108"/>
      <c r="S12" s="109"/>
      <c r="T12" s="106"/>
      <c r="U12" s="107"/>
      <c r="V12" s="108"/>
      <c r="W12" s="109"/>
      <c r="X12" s="108"/>
      <c r="Y12" s="109"/>
      <c r="Z12" s="106"/>
      <c r="AA12" s="107"/>
      <c r="AB12" s="108"/>
      <c r="AC12" s="109"/>
      <c r="AD12" s="106"/>
      <c r="AE12" s="107"/>
      <c r="AF12" s="108"/>
      <c r="AG12" s="109"/>
      <c r="AH12" s="106"/>
      <c r="AI12" s="107"/>
      <c r="AJ12" s="108"/>
      <c r="AK12" s="109"/>
      <c r="AL12" s="106"/>
      <c r="AM12" s="107"/>
      <c r="AN12" s="108"/>
      <c r="AO12" s="109"/>
      <c r="AP12" s="106"/>
      <c r="AQ12" s="107"/>
      <c r="AR12" s="108"/>
      <c r="AS12" s="109"/>
      <c r="AT12" s="106"/>
      <c r="AU12" s="107"/>
      <c r="AV12" s="108"/>
      <c r="AW12" s="109"/>
      <c r="AX12" s="106"/>
      <c r="AY12" s="107"/>
      <c r="AZ12" s="108"/>
      <c r="BA12" s="109"/>
      <c r="BB12" s="106"/>
      <c r="BC12" s="107"/>
      <c r="BD12" s="108"/>
      <c r="BE12" s="109"/>
      <c r="BF12" s="108"/>
      <c r="BG12" s="109"/>
      <c r="BH12" s="106"/>
      <c r="BI12" s="107"/>
      <c r="BJ12" s="108"/>
      <c r="BK12" s="109"/>
      <c r="BL12" s="106"/>
      <c r="BM12" s="110"/>
      <c r="BN12" s="111">
        <f>ROUND(SUMIF($D$2:$BM$2,1,D12:BM12),0)</f>
        <v>0</v>
      </c>
      <c r="BO12" s="112">
        <f>MIN(BN12-(SUM(BV12:CD12)*C12+BN12-($D$1*C12)),BN12)</f>
        <v>0</v>
      </c>
      <c r="BP12" s="112">
        <f>MAX(BN12-BO12 -BU12,0)</f>
        <v>0</v>
      </c>
      <c r="BQ12" s="112">
        <f>BM12+BK12+BI12+BG12+BE12+BC12+BA12+AY12+AW12+AU12+AS12+AQ12+AO12+AM12+AK12+AI12+AG12+AE12+AC12+AA12+Y12+W12+U12+S12+Q12+O12+M12+K12+I12+G12+E12-IF(BI$2=0,BI12,0)-IF(BK$2=0,BK12,0)-IF(BM$2=0,BM12,0)</f>
        <v>0</v>
      </c>
      <c r="BR12" s="112">
        <f>SUMIF($D$3:$BM$3,1,D12:BM12)</f>
        <v>0</v>
      </c>
      <c r="BS12" s="113"/>
      <c r="BT12" s="113"/>
      <c r="BU12" s="114">
        <f>MAX(SUMIF($D$4:$BM$4,1,D12:BM12),0)</f>
        <v>0</v>
      </c>
      <c r="BV12" s="115">
        <f>SUMIF(D12:BM12,"CO",$D$5:$BM$5)</f>
        <v>0</v>
      </c>
      <c r="BW12" s="116">
        <f>SUMIF(D12:BM12,"EVD",$D$5:$BM$5)</f>
        <v>0</v>
      </c>
      <c r="BX12" s="116">
        <f>SUMIF(D12:BM12,"CFS",$D$5:$BM$5)</f>
        <v>0</v>
      </c>
      <c r="BY12" s="116">
        <f>SUMIF(D12:BM12,"INV",$D$5:$BM$5)</f>
        <v>0</v>
      </c>
      <c r="BZ12" s="116">
        <f>SUMIF(D12:BM12,"D",$D$2:$BM$2)</f>
        <v>0</v>
      </c>
      <c r="CA12" s="116">
        <f>SUMIF(D12:BM12,"CIC",$D$5:$BM$5)</f>
        <v>0</v>
      </c>
      <c r="CB12" s="116">
        <f>SUMIF(D12:BM12,"CM",$D$5:$BM$5)</f>
        <v>0</v>
      </c>
      <c r="CC12" s="116">
        <f>SUMIF(D12:BM12,"N",$D$5:$BM$5)</f>
        <v>0</v>
      </c>
      <c r="CD12" s="117">
        <f>SUMIF(D12:BM12,"X",$D$5:$BM$5)</f>
        <v>0</v>
      </c>
      <c r="CE12" s="118">
        <f>CC12+BY12+BX12</f>
        <v>0</v>
      </c>
      <c r="CF12" s="119"/>
      <c r="CG12" s="49"/>
    </row>
    <row r="13" spans="1:135" ht="49.5" customHeight="1" thickBot="1" x14ac:dyDescent="0.25">
      <c r="A13" s="103" t="s">
        <v>50</v>
      </c>
      <c r="B13" s="104" t="s">
        <v>51</v>
      </c>
      <c r="C13" s="105">
        <v>8</v>
      </c>
      <c r="D13" s="106"/>
      <c r="E13" s="107"/>
      <c r="F13" s="108"/>
      <c r="G13" s="109"/>
      <c r="H13" s="106"/>
      <c r="I13" s="107"/>
      <c r="J13" s="108"/>
      <c r="K13" s="109"/>
      <c r="L13" s="106"/>
      <c r="M13" s="107"/>
      <c r="N13" s="108"/>
      <c r="O13" s="109"/>
      <c r="P13" s="106"/>
      <c r="Q13" s="107"/>
      <c r="R13" s="108"/>
      <c r="S13" s="109"/>
      <c r="T13" s="106"/>
      <c r="U13" s="107"/>
      <c r="V13" s="108"/>
      <c r="W13" s="109"/>
      <c r="X13" s="108"/>
      <c r="Y13" s="109"/>
      <c r="Z13" s="106"/>
      <c r="AA13" s="107"/>
      <c r="AB13" s="108"/>
      <c r="AC13" s="109"/>
      <c r="AD13" s="106"/>
      <c r="AE13" s="107"/>
      <c r="AF13" s="108"/>
      <c r="AG13" s="109"/>
      <c r="AH13" s="106"/>
      <c r="AI13" s="107"/>
      <c r="AJ13" s="108"/>
      <c r="AK13" s="109"/>
      <c r="AL13" s="106"/>
      <c r="AM13" s="107"/>
      <c r="AN13" s="108"/>
      <c r="AO13" s="109"/>
      <c r="AP13" s="106"/>
      <c r="AQ13" s="107"/>
      <c r="AR13" s="108"/>
      <c r="AS13" s="109"/>
      <c r="AT13" s="106"/>
      <c r="AU13" s="107"/>
      <c r="AV13" s="108"/>
      <c r="AW13" s="109"/>
      <c r="AX13" s="106"/>
      <c r="AY13" s="107"/>
      <c r="AZ13" s="108"/>
      <c r="BA13" s="109"/>
      <c r="BB13" s="106"/>
      <c r="BC13" s="107"/>
      <c r="BD13" s="108"/>
      <c r="BE13" s="109"/>
      <c r="BF13" s="108"/>
      <c r="BG13" s="109"/>
      <c r="BH13" s="106"/>
      <c r="BI13" s="107"/>
      <c r="BJ13" s="108"/>
      <c r="BK13" s="109"/>
      <c r="BL13" s="106"/>
      <c r="BM13" s="110"/>
      <c r="BN13" s="111">
        <f>ROUND(SUMIF($D$2:$BM$2,1,D13:BM13),0)</f>
        <v>0</v>
      </c>
      <c r="BO13" s="112">
        <f>MIN(BN13-(SUM(BV13:CD13)*C13+BN13-($D$1*C13)),BN13)</f>
        <v>0</v>
      </c>
      <c r="BP13" s="112">
        <f>MAX(BN13-BO13 -BU13,0)</f>
        <v>0</v>
      </c>
      <c r="BQ13" s="112">
        <f>BM13+BK13+BI13+BG13+BE13+BC13+BA13+AY13+AW13+AU13+AS13+AQ13+AO13+AM13+AK13+AI13+AG13+AE13+AC13+AA13+Y13+W13+U13+S13+Q13+O13+M13+K13+I13+G13+E13-IF(BI$2=0,BI13,0)-IF(BK$2=0,BK13,0)-IF(BM$2=0,BM13,0)</f>
        <v>0</v>
      </c>
      <c r="BR13" s="112">
        <f>SUMIF($D$3:$BM$3,1,D13:BM13)</f>
        <v>0</v>
      </c>
      <c r="BS13" s="113"/>
      <c r="BT13" s="113"/>
      <c r="BU13" s="114">
        <f>MAX(SUMIF($D$4:$BM$4,1,D13:BM13),0)</f>
        <v>0</v>
      </c>
      <c r="BV13" s="115">
        <f>SUMIF(D13:BM13,"CO",$D$5:$BM$5)</f>
        <v>0</v>
      </c>
      <c r="BW13" s="116">
        <f>SUMIF(D13:BM13,"EVD",$D$5:$BM$5)</f>
        <v>0</v>
      </c>
      <c r="BX13" s="116">
        <f>SUMIF(D13:BM13,"CFS",$D$5:$BM$5)</f>
        <v>0</v>
      </c>
      <c r="BY13" s="116">
        <f>SUMIF(D13:BM13,"INV",$D$5:$BM$5)</f>
        <v>0</v>
      </c>
      <c r="BZ13" s="116">
        <f>SUMIF(D13:BM13,"D",$D$2:$BM$2)</f>
        <v>0</v>
      </c>
      <c r="CA13" s="116">
        <f>SUMIF(D13:BM13,"CIC",$D$5:$BM$5)</f>
        <v>0</v>
      </c>
      <c r="CB13" s="116">
        <f>SUMIF(D13:BM13,"CM",$D$5:$BM$5)</f>
        <v>0</v>
      </c>
      <c r="CC13" s="116">
        <f>SUMIF(D13:BM13,"N",$D$5:$BM$5)</f>
        <v>0</v>
      </c>
      <c r="CD13" s="117">
        <f>SUMIF(D13:BM13,"X",$D$5:$BM$5)</f>
        <v>0</v>
      </c>
      <c r="CE13" s="118">
        <f>CC13+BY13+BX13</f>
        <v>0</v>
      </c>
      <c r="CF13" s="119"/>
      <c r="CG13" s="49"/>
    </row>
    <row r="14" spans="1:135" ht="49.5" customHeight="1" thickBot="1" x14ac:dyDescent="0.25">
      <c r="A14" s="103" t="s">
        <v>52</v>
      </c>
      <c r="B14" s="104" t="s">
        <v>53</v>
      </c>
      <c r="C14" s="105">
        <v>8</v>
      </c>
      <c r="D14" s="106"/>
      <c r="E14" s="107"/>
      <c r="F14" s="108"/>
      <c r="G14" s="109"/>
      <c r="H14" s="106"/>
      <c r="I14" s="107"/>
      <c r="J14" s="108"/>
      <c r="K14" s="109"/>
      <c r="L14" s="106"/>
      <c r="M14" s="107"/>
      <c r="N14" s="108"/>
      <c r="O14" s="109"/>
      <c r="P14" s="106"/>
      <c r="Q14" s="107"/>
      <c r="R14" s="108"/>
      <c r="S14" s="109"/>
      <c r="T14" s="106"/>
      <c r="U14" s="107"/>
      <c r="V14" s="108"/>
      <c r="W14" s="109"/>
      <c r="X14" s="108"/>
      <c r="Y14" s="109"/>
      <c r="Z14" s="106"/>
      <c r="AA14" s="107"/>
      <c r="AB14" s="108"/>
      <c r="AC14" s="109"/>
      <c r="AD14" s="106"/>
      <c r="AE14" s="107"/>
      <c r="AF14" s="108"/>
      <c r="AG14" s="109"/>
      <c r="AH14" s="106"/>
      <c r="AI14" s="107"/>
      <c r="AJ14" s="108"/>
      <c r="AK14" s="109"/>
      <c r="AL14" s="106"/>
      <c r="AM14" s="107"/>
      <c r="AN14" s="108"/>
      <c r="AO14" s="109"/>
      <c r="AP14" s="106"/>
      <c r="AQ14" s="107"/>
      <c r="AR14" s="108"/>
      <c r="AS14" s="109"/>
      <c r="AT14" s="106"/>
      <c r="AU14" s="107"/>
      <c r="AV14" s="108"/>
      <c r="AW14" s="109"/>
      <c r="AX14" s="106"/>
      <c r="AY14" s="107"/>
      <c r="AZ14" s="108"/>
      <c r="BA14" s="109"/>
      <c r="BB14" s="106"/>
      <c r="BC14" s="107"/>
      <c r="BD14" s="108"/>
      <c r="BE14" s="109"/>
      <c r="BF14" s="108"/>
      <c r="BG14" s="109"/>
      <c r="BH14" s="106"/>
      <c r="BI14" s="107"/>
      <c r="BJ14" s="108"/>
      <c r="BK14" s="109"/>
      <c r="BL14" s="106"/>
      <c r="BM14" s="110"/>
      <c r="BN14" s="111">
        <f>ROUND(SUMIF($D$2:$BM$2,1,D14:BM14),0)</f>
        <v>0</v>
      </c>
      <c r="BO14" s="112">
        <f>MIN(BN14-(SUM(BV14:CD14)*C14+BN14-($D$1*C14)),BN14)</f>
        <v>0</v>
      </c>
      <c r="BP14" s="112">
        <f>MAX(BN14-BO14 -BU14,0)</f>
        <v>0</v>
      </c>
      <c r="BQ14" s="112">
        <f>BM14+BK14+BI14+BG14+BE14+BC14+BA14+AY14+AW14+AU14+AS14+AQ14+AO14+AM14+AK14+AI14+AG14+AE14+AC14+AA14+Y14+W14+U14+S14+Q14+O14+M14+K14+I14+G14+E14-IF(BI$2=0,BI14,0)-IF(BK$2=0,BK14,0)-IF(BM$2=0,BM14,0)</f>
        <v>0</v>
      </c>
      <c r="BR14" s="112">
        <f>SUMIF($D$3:$BM$3,1,D14:BM14)</f>
        <v>0</v>
      </c>
      <c r="BS14" s="113"/>
      <c r="BT14" s="113"/>
      <c r="BU14" s="114">
        <f>MAX(SUMIF($D$4:$BM$4,1,D14:BM14),0)</f>
        <v>0</v>
      </c>
      <c r="BV14" s="115">
        <f>SUMIF(D14:BM14,"CO",$D$5:$BM$5)</f>
        <v>0</v>
      </c>
      <c r="BW14" s="116">
        <f>SUMIF(D14:BM14,"EVD",$D$5:$BM$5)</f>
        <v>0</v>
      </c>
      <c r="BX14" s="116">
        <f>SUMIF(D14:BM14,"CFS",$D$5:$BM$5)</f>
        <v>0</v>
      </c>
      <c r="BY14" s="116">
        <f>SUMIF(D14:BM14,"INV",$D$5:$BM$5)</f>
        <v>0</v>
      </c>
      <c r="BZ14" s="116">
        <f>SUMIF(D14:BM14,"D",$D$2:$BM$2)</f>
        <v>0</v>
      </c>
      <c r="CA14" s="116">
        <f>SUMIF(D14:BM14,"CIC",$D$5:$BM$5)</f>
        <v>0</v>
      </c>
      <c r="CB14" s="116">
        <f>SUMIF(D14:BM14,"CM",$D$5:$BM$5)</f>
        <v>0</v>
      </c>
      <c r="CC14" s="116">
        <f>SUMIF(D14:BM14,"N",$D$5:$BM$5)</f>
        <v>0</v>
      </c>
      <c r="CD14" s="117">
        <f>SUMIF(D14:BM14,"X",$D$5:$BM$5)</f>
        <v>0</v>
      </c>
      <c r="CE14" s="118">
        <f>CC14+BY14+BX14</f>
        <v>0</v>
      </c>
      <c r="CF14" s="119"/>
      <c r="CG14" s="49"/>
    </row>
    <row r="15" spans="1:135" ht="49.5" customHeight="1" thickBot="1" x14ac:dyDescent="0.25">
      <c r="A15" s="103" t="s">
        <v>54</v>
      </c>
      <c r="B15" s="104" t="s">
        <v>55</v>
      </c>
      <c r="C15" s="105">
        <v>8</v>
      </c>
      <c r="D15" s="106"/>
      <c r="E15" s="107"/>
      <c r="F15" s="108"/>
      <c r="G15" s="109"/>
      <c r="H15" s="106"/>
      <c r="I15" s="107"/>
      <c r="J15" s="108"/>
      <c r="K15" s="109"/>
      <c r="L15" s="106"/>
      <c r="M15" s="107"/>
      <c r="N15" s="108"/>
      <c r="O15" s="109"/>
      <c r="P15" s="106"/>
      <c r="Q15" s="107"/>
      <c r="R15" s="108"/>
      <c r="S15" s="109"/>
      <c r="T15" s="106"/>
      <c r="U15" s="107"/>
      <c r="V15" s="108"/>
      <c r="W15" s="109"/>
      <c r="X15" s="108"/>
      <c r="Y15" s="109"/>
      <c r="Z15" s="106"/>
      <c r="AA15" s="107"/>
      <c r="AB15" s="108"/>
      <c r="AC15" s="109"/>
      <c r="AD15" s="106"/>
      <c r="AE15" s="107"/>
      <c r="AF15" s="108"/>
      <c r="AG15" s="109"/>
      <c r="AH15" s="106"/>
      <c r="AI15" s="107"/>
      <c r="AJ15" s="108"/>
      <c r="AK15" s="109"/>
      <c r="AL15" s="106"/>
      <c r="AM15" s="107"/>
      <c r="AN15" s="108"/>
      <c r="AO15" s="109"/>
      <c r="AP15" s="106"/>
      <c r="AQ15" s="107"/>
      <c r="AR15" s="108"/>
      <c r="AS15" s="109"/>
      <c r="AT15" s="106"/>
      <c r="AU15" s="107"/>
      <c r="AV15" s="108"/>
      <c r="AW15" s="109"/>
      <c r="AX15" s="106"/>
      <c r="AY15" s="107"/>
      <c r="AZ15" s="108"/>
      <c r="BA15" s="109"/>
      <c r="BB15" s="106"/>
      <c r="BC15" s="107"/>
      <c r="BD15" s="108"/>
      <c r="BE15" s="109"/>
      <c r="BF15" s="108"/>
      <c r="BG15" s="109"/>
      <c r="BH15" s="106"/>
      <c r="BI15" s="107"/>
      <c r="BJ15" s="108"/>
      <c r="BK15" s="109"/>
      <c r="BL15" s="106"/>
      <c r="BM15" s="110"/>
      <c r="BN15" s="111">
        <f>ROUND(SUMIF($D$2:$BM$2,1,D15:BM15),0)</f>
        <v>0</v>
      </c>
      <c r="BO15" s="112">
        <f>MIN(BN15-(SUM(BV15:CD15)*C15+BN15-($D$1*C15)),BN15)</f>
        <v>0</v>
      </c>
      <c r="BP15" s="112">
        <f>MAX(BN15-BO15 -BU15,0)</f>
        <v>0</v>
      </c>
      <c r="BQ15" s="112">
        <f>BM15+BK15+BI15+BG15+BE15+BC15+BA15+AY15+AW15+AU15+AS15+AQ15+AO15+AM15+AK15+AI15+AG15+AE15+AC15+AA15+Y15+W15+U15+S15+Q15+O15+M15+K15+I15+G15+E15-IF(BI$2=0,BI15,0)-IF(BK$2=0,BK15,0)-IF(BM$2=0,BM15,0)</f>
        <v>0</v>
      </c>
      <c r="BR15" s="112">
        <f>SUMIF($D$3:$BM$3,1,D15:BM15)</f>
        <v>0</v>
      </c>
      <c r="BS15" s="113"/>
      <c r="BT15" s="113"/>
      <c r="BU15" s="114">
        <f>MAX(SUMIF($D$4:$BM$4,1,D15:BM15),0)</f>
        <v>0</v>
      </c>
      <c r="BV15" s="115">
        <f>SUMIF(D15:BM15,"CO",$D$5:$BM$5)</f>
        <v>0</v>
      </c>
      <c r="BW15" s="116">
        <f>SUMIF(D15:BM15,"EVD",$D$5:$BM$5)</f>
        <v>0</v>
      </c>
      <c r="BX15" s="116">
        <f>SUMIF(D15:BM15,"CFS",$D$5:$BM$5)</f>
        <v>0</v>
      </c>
      <c r="BY15" s="116">
        <f>SUMIF(D15:BM15,"INV",$D$5:$BM$5)</f>
        <v>0</v>
      </c>
      <c r="BZ15" s="116">
        <f>SUMIF(D15:BM15,"D",$D$2:$BM$2)</f>
        <v>0</v>
      </c>
      <c r="CA15" s="116">
        <f>SUMIF(D15:BM15,"CIC",$D$5:$BM$5)</f>
        <v>0</v>
      </c>
      <c r="CB15" s="116">
        <f>SUMIF(D15:BM15,"CM",$D$5:$BM$5)</f>
        <v>0</v>
      </c>
      <c r="CC15" s="116">
        <f>SUMIF(D15:BM15,"N",$D$5:$BM$5)</f>
        <v>0</v>
      </c>
      <c r="CD15" s="117">
        <f>SUMIF(D15:BM15,"X",$D$5:$BM$5)</f>
        <v>0</v>
      </c>
      <c r="CE15" s="118">
        <f>CC15+BY15+BX15</f>
        <v>0</v>
      </c>
      <c r="CF15" s="119"/>
      <c r="CG15" s="49"/>
    </row>
    <row r="16" spans="1:135" ht="49.5" customHeight="1" thickBot="1" x14ac:dyDescent="0.25">
      <c r="A16" s="103"/>
      <c r="B16" s="104"/>
      <c r="C16" s="105">
        <v>8</v>
      </c>
      <c r="D16" s="106"/>
      <c r="E16" s="107"/>
      <c r="F16" s="108"/>
      <c r="G16" s="109"/>
      <c r="H16" s="106"/>
      <c r="I16" s="107"/>
      <c r="J16" s="108"/>
      <c r="K16" s="109"/>
      <c r="L16" s="106"/>
      <c r="M16" s="107"/>
      <c r="N16" s="108"/>
      <c r="O16" s="109"/>
      <c r="P16" s="106"/>
      <c r="Q16" s="107"/>
      <c r="R16" s="108"/>
      <c r="S16" s="109"/>
      <c r="T16" s="106"/>
      <c r="U16" s="107"/>
      <c r="V16" s="108"/>
      <c r="W16" s="109"/>
      <c r="X16" s="108"/>
      <c r="Y16" s="109"/>
      <c r="Z16" s="106"/>
      <c r="AA16" s="107"/>
      <c r="AB16" s="108"/>
      <c r="AC16" s="109"/>
      <c r="AD16" s="106"/>
      <c r="AE16" s="107"/>
      <c r="AF16" s="108"/>
      <c r="AG16" s="109"/>
      <c r="AH16" s="106"/>
      <c r="AI16" s="107"/>
      <c r="AJ16" s="108"/>
      <c r="AK16" s="109"/>
      <c r="AL16" s="106"/>
      <c r="AM16" s="107"/>
      <c r="AN16" s="108"/>
      <c r="AO16" s="109"/>
      <c r="AP16" s="106"/>
      <c r="AQ16" s="107"/>
      <c r="AR16" s="108"/>
      <c r="AS16" s="109"/>
      <c r="AT16" s="106"/>
      <c r="AU16" s="107"/>
      <c r="AV16" s="108"/>
      <c r="AW16" s="109"/>
      <c r="AX16" s="106"/>
      <c r="AY16" s="107"/>
      <c r="AZ16" s="108"/>
      <c r="BA16" s="109"/>
      <c r="BB16" s="106"/>
      <c r="BC16" s="107"/>
      <c r="BD16" s="108"/>
      <c r="BE16" s="109"/>
      <c r="BF16" s="108"/>
      <c r="BG16" s="109"/>
      <c r="BH16" s="106"/>
      <c r="BI16" s="107"/>
      <c r="BJ16" s="108"/>
      <c r="BK16" s="109"/>
      <c r="BL16" s="106"/>
      <c r="BM16" s="110"/>
      <c r="BN16" s="111"/>
      <c r="BO16" s="112"/>
      <c r="BP16" s="112"/>
      <c r="BQ16" s="112"/>
      <c r="BR16" s="112"/>
      <c r="BS16" s="113"/>
      <c r="BT16" s="113"/>
      <c r="BU16" s="114"/>
      <c r="BV16" s="115"/>
      <c r="BW16" s="116"/>
      <c r="BX16" s="116"/>
      <c r="BY16" s="116"/>
      <c r="BZ16" s="116"/>
      <c r="CA16" s="116"/>
      <c r="CB16" s="116"/>
      <c r="CC16" s="116"/>
      <c r="CD16" s="117"/>
      <c r="CE16" s="118"/>
      <c r="CF16" s="119"/>
      <c r="CG16" s="49"/>
    </row>
  </sheetData>
  <mergeCells count="57">
    <mergeCell ref="BL9:BM9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CC8:CC9"/>
    <mergeCell ref="CD8:CD9"/>
    <mergeCell ref="CE8:CE9"/>
    <mergeCell ref="A9:C9"/>
    <mergeCell ref="D9:E9"/>
    <mergeCell ref="F9:G9"/>
    <mergeCell ref="H9:I9"/>
    <mergeCell ref="J9:K9"/>
    <mergeCell ref="L9:M9"/>
    <mergeCell ref="N9:O9"/>
    <mergeCell ref="BW8:BW9"/>
    <mergeCell ref="BX8:BX9"/>
    <mergeCell ref="BY8:BY9"/>
    <mergeCell ref="BZ8:BZ9"/>
    <mergeCell ref="CA8:CA9"/>
    <mergeCell ref="CB8:CB9"/>
    <mergeCell ref="BQ8:BQ10"/>
    <mergeCell ref="BR8:BR10"/>
    <mergeCell ref="BS8:BS10"/>
    <mergeCell ref="BT8:BT10"/>
    <mergeCell ref="BU8:BU10"/>
    <mergeCell ref="BV8:BV9"/>
    <mergeCell ref="D1:F1"/>
    <mergeCell ref="A6:B7"/>
    <mergeCell ref="D6:BM7"/>
    <mergeCell ref="BN6:BU7"/>
    <mergeCell ref="BV6:CE7"/>
    <mergeCell ref="CF6:CF10"/>
    <mergeCell ref="A8:C8"/>
    <mergeCell ref="BN8:BN10"/>
    <mergeCell ref="BO8:BO10"/>
    <mergeCell ref="BP8:BP10"/>
  </mergeCells>
  <conditionalFormatting sqref="D11:BM16">
    <cfRule type="expression" dxfId="2" priority="0">
      <formula>IF(D$2=0, 1, 0)</formula>
    </cfRule>
    <cfRule type="expression" dxfId="1" priority="0">
      <formula>IF(AND(D$4&lt;&gt;0, D$2&lt;&gt;0), 1,0)</formula>
    </cfRule>
    <cfRule type="expression" dxfId="0" priority="0">
      <formula>IF(AND(D$3&lt;&gt;0, D$2&lt;&gt;0, D$4=0), 1, 0)</formula>
    </cfRule>
  </conditionalFormatting>
  <dataValidations count="4">
    <dataValidation type="list" errorStyle="information" allowBlank="1" showInputMessage="1" showErrorMessage="1" errorTitle="Norma de ore/zi " error="Norma de ore/zi nu este corecta!!! Introduceti o valoare cuprinsa intre 1 si 8 !!!" promptTitle="Norma" sqref="C11:C16">
      <formula1>VP.N</formula1>
    </dataValidation>
    <dataValidation type="list" allowBlank="1" showInputMessage="1" showErrorMessage="1" errorTitle="Pontaj" error="Valoare invalida!  Selectati o valoare din lista!" prompt="Pontaj Zi" sqref="D11:D16 F11:F16 H11:H16 J11:J16 L11:L16 N11:N16 P11:P16 R11:R16 T11:T16 V11:V16 X11:X16 Z11:Z16 AB11:AB16 AD11:AD16 AF11:AF16 AH11:AH16 AJ11:AJ16 AL11:AL16 AN11:AN16 AP11:AP16 AR11:AR16 AT11:AT16 AV11:AV16 AX11:AX16 AZ11:AZ16 BB11:BB16 BD11:BD16 BF11:BF16 BH11:BH16 BJ11:BJ16 BL11:BL16">
      <formula1>Pontaj.VP.ZI</formula1>
    </dataValidation>
    <dataValidation type="list" allowBlank="1" showInputMessage="1" showErrorMessage="1" errorTitle="Pontaj" error="Valoare invalida!  Selectati o valoare din lista!" prompt="Pontaj Noapte" sqref="E11:E16 G11:G16 I11:I16 K11:K16 M11:M16 O11:O16 Q11:Q16 S11:S16 U11:U16 W11:W16 Y11:Y16 AA11:AA16 AC11:AC16 AE11:AE16 AG11:AG16 AI11:AI16 AK11:AK16 AM11:AM16 AO11:AO16 AQ11:AQ16 AS11:AS16 AU11:AU16 AW11:AW16 AY11:AY16 BA11:BA16 BC11:BC16 BE11:BE16 BG11:BG16 BI11:BI16 BK11:BK16 BM11:BM16">
      <formula1>Pontaj.VP.NO</formula1>
    </dataValidation>
    <dataValidation type="list" allowBlank="1" showInputMessage="1" showErrorMessage="1" errorTitle="Pontaj" error="Valoare invalida!  Selectati o valoare din lista!" prompt="Luna pontaj" sqref="A6:B7">
      <formula1>Pontaj.VP.Luna</formula1>
    </dataValidation>
  </dataValidations>
  <pageMargins left="0.196850393700787" right="0.196850393700787" top="0.76" bottom="0.196850393700787" header="0.27559055118110198" footer="0"/>
  <pageSetup paperSize="9" scale="63" orientation="landscape" horizontalDpi="4294967293"/>
  <headerFooter>
    <oddHeader>&amp;LIntocmit,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</vt:i4>
      </vt:variant>
    </vt:vector>
  </HeadingPairs>
  <TitlesOfParts>
    <vt:vector size="43" baseType="lpstr">
      <vt:lpstr>Commercial&amp;Operations - Afte</vt:lpstr>
      <vt:lpstr>'Commercial&amp;Operations - Afte'!Parametri.LunaCurenta</vt:lpstr>
      <vt:lpstr>'Commercial&amp;Operations - Afte'!Parametri.ZileLucratoare</vt:lpstr>
      <vt:lpstr>'Commercial&amp;Operations - Afte'!Pontaj.DPT</vt:lpstr>
      <vt:lpstr>'Commercial&amp;Operations - Afte'!Pontaj.PCT</vt:lpstr>
      <vt:lpstr>'Commercial&amp;Operations - Afte'!Pontaj.Salariat</vt:lpstr>
      <vt:lpstr>'Commercial&amp;Operations - Afte'!Pontaj.Salariat.Marca</vt:lpstr>
      <vt:lpstr>'Commercial&amp;Operations - Afte'!Pontaj.Salariat.Norma</vt:lpstr>
      <vt:lpstr>'Commercial&amp;Operations - Afte'!Pontaj.Salariat.Nume</vt:lpstr>
      <vt:lpstr>'Commercial&amp;Operations - Afte'!Pontaj.VP.Luna</vt:lpstr>
      <vt:lpstr>'Commercial&amp;Operations - Afte'!Pontaj.VP.NO</vt:lpstr>
      <vt:lpstr>'Commercial&amp;Operations - Afte'!Pontaj.VP.ZI</vt:lpstr>
      <vt:lpstr>'Commercial&amp;Operations - Afte'!Pontaj.Zi1</vt:lpstr>
      <vt:lpstr>'Commercial&amp;Operations - Afte'!Pontaj.Zi10</vt:lpstr>
      <vt:lpstr>'Commercial&amp;Operations - Afte'!Pontaj.Zi11</vt:lpstr>
      <vt:lpstr>'Commercial&amp;Operations - Afte'!Pontaj.Zi12</vt:lpstr>
      <vt:lpstr>'Commercial&amp;Operations - Afte'!Pontaj.Zi13</vt:lpstr>
      <vt:lpstr>'Commercial&amp;Operations - Afte'!Pontaj.Zi14</vt:lpstr>
      <vt:lpstr>'Commercial&amp;Operations - Afte'!Pontaj.Zi15</vt:lpstr>
      <vt:lpstr>'Commercial&amp;Operations - Afte'!Pontaj.Zi16</vt:lpstr>
      <vt:lpstr>'Commercial&amp;Operations - Afte'!Pontaj.Zi17</vt:lpstr>
      <vt:lpstr>'Commercial&amp;Operations - Afte'!Pontaj.Zi18</vt:lpstr>
      <vt:lpstr>'Commercial&amp;Operations - Afte'!Pontaj.Zi19</vt:lpstr>
      <vt:lpstr>'Commercial&amp;Operations - Afte'!Pontaj.Zi2</vt:lpstr>
      <vt:lpstr>'Commercial&amp;Operations - Afte'!Pontaj.Zi20</vt:lpstr>
      <vt:lpstr>'Commercial&amp;Operations - Afte'!Pontaj.Zi21</vt:lpstr>
      <vt:lpstr>'Commercial&amp;Operations - Afte'!Pontaj.Zi22</vt:lpstr>
      <vt:lpstr>'Commercial&amp;Operations - Afte'!Pontaj.Zi23</vt:lpstr>
      <vt:lpstr>'Commercial&amp;Operations - Afte'!Pontaj.Zi24</vt:lpstr>
      <vt:lpstr>'Commercial&amp;Operations - Afte'!Pontaj.Zi25</vt:lpstr>
      <vt:lpstr>'Commercial&amp;Operations - Afte'!Pontaj.Zi26</vt:lpstr>
      <vt:lpstr>'Commercial&amp;Operations - Afte'!Pontaj.Zi27</vt:lpstr>
      <vt:lpstr>'Commercial&amp;Operations - Afte'!Pontaj.Zi28</vt:lpstr>
      <vt:lpstr>'Commercial&amp;Operations - Afte'!Pontaj.Zi29</vt:lpstr>
      <vt:lpstr>'Commercial&amp;Operations - Afte'!Pontaj.Zi3</vt:lpstr>
      <vt:lpstr>'Commercial&amp;Operations - Afte'!Pontaj.Zi30</vt:lpstr>
      <vt:lpstr>'Commercial&amp;Operations - Afte'!Pontaj.Zi31</vt:lpstr>
      <vt:lpstr>'Commercial&amp;Operations - Afte'!Pontaj.Zi4</vt:lpstr>
      <vt:lpstr>'Commercial&amp;Operations - Afte'!Pontaj.Zi5</vt:lpstr>
      <vt:lpstr>'Commercial&amp;Operations - Afte'!Pontaj.Zi6</vt:lpstr>
      <vt:lpstr>'Commercial&amp;Operations - Afte'!Pontaj.Zi7</vt:lpstr>
      <vt:lpstr>'Commercial&amp;Operations - Afte'!Pontaj.Zi8</vt:lpstr>
      <vt:lpstr>'Commercial&amp;Operations - Afte'!Pontaj.Zi9</vt:lpstr>
    </vt:vector>
  </TitlesOfParts>
  <Company>UDC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</dc:creator>
  <cp:lastModifiedBy>Iulia Badana</cp:lastModifiedBy>
  <cp:lastPrinted>2009-12-09T11:45:48Z</cp:lastPrinted>
  <dcterms:created xsi:type="dcterms:W3CDTF">2006-08-21T09:14:47Z</dcterms:created>
  <dcterms:modified xsi:type="dcterms:W3CDTF">2018-03-25T18:17:52Z</dcterms:modified>
</cp:coreProperties>
</file>